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230" activeTab="0"/>
  </bookViews>
  <sheets>
    <sheet name="район" sheetId="1" r:id="rId1"/>
    <sheet name="ив" sheetId="2" r:id="rId2"/>
    <sheet name="мортки" sheetId="3" r:id="rId3"/>
    <sheet name="затеиха" sheetId="4" r:id="rId4"/>
    <sheet name="сеготь" sheetId="5" r:id="rId5"/>
    <sheet name="город" sheetId="6" r:id="rId6"/>
    <sheet name="свод" sheetId="7" r:id="rId7"/>
  </sheets>
  <definedNames/>
  <calcPr fullCalcOnLoad="1"/>
</workbook>
</file>

<file path=xl/sharedStrings.xml><?xml version="1.0" encoding="utf-8"?>
<sst xmlns="http://schemas.openxmlformats.org/spreadsheetml/2006/main" count="810" uniqueCount="92">
  <si>
    <t>Показатель</t>
  </si>
  <si>
    <t>2017 год</t>
  </si>
  <si>
    <t>2018 год</t>
  </si>
  <si>
    <t>2030 год</t>
  </si>
  <si>
    <t>Доходы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</si>
  <si>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</si>
  <si>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</si>
  <si>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</si>
  <si>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поступления, за исключением целевых поступлений от других бюджетов бюджетной системы</t>
  </si>
  <si>
    <t>Расходы бюджета, за исключением расходов, осуществляемых за счет целевых поступлений от других бюджетов бюджетной системы</t>
  </si>
  <si>
    <t>Дефицит (профицит) бюджета</t>
  </si>
  <si>
    <t>Долг на конец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</si>
  <si>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</si>
  <si>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</si>
  <si>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</si>
  <si>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</si>
  <si>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</si>
  <si>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</si>
  <si>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</si>
  <si>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</si>
  <si>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</si>
  <si>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</si>
  <si>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</si>
  <si>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Общий объем доходов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</si>
  <si>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</si>
  <si>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</si>
  <si>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Налог на доходы физических лиц*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</si>
  <si>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</si>
  <si>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</si>
  <si>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</si>
  <si>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</si>
  <si>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</si>
  <si>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</si>
  <si>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</si>
  <si>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</si>
  <si>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</si>
  <si>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</si>
  <si>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</si>
  <si>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</si>
  <si>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</si>
  <si>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</si>
  <si>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</si>
  <si>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</si>
  <si>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</si>
  <si>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r>
      <t>Безвозмездные поступления,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</si>
  <si>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Дотации**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</si>
  <si>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</si>
  <si>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</si>
  <si>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</si>
  <si>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 xml:space="preserve">Общий объем расходов бюджета, за исключением расходов, осуществляемых за счет целевых поступлений от других бюджетов бюджетной системы 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</si>
  <si>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</si>
  <si>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</si>
  <si>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</si>
  <si>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</si>
  <si>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</si>
  <si>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</si>
  <si>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</si>
  <si>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</si>
  <si>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</si>
  <si>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</si>
  <si>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</si>
  <si>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</si>
  <si>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</si>
  <si>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муниципального долга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</si>
  <si>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</si>
  <si>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Общий объем долга </t>
  </si>
  <si>
    <t>ценные бумаги</t>
  </si>
  <si>
    <t>кредиты банков</t>
  </si>
  <si>
    <t>бюджетные кредиты</t>
  </si>
  <si>
    <t>муниципальные гарантии</t>
  </si>
  <si>
    <t>Экономист</t>
  </si>
  <si>
    <t>аренда имущества</t>
  </si>
  <si>
    <t>аренда земли</t>
  </si>
  <si>
    <r>
      <t>Безвозмездные поступления,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</si>
  <si>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Прогноз  бюджета Илья-Высоковского сельского поселения</t>
  </si>
  <si>
    <t>Прогноз  бюджета Мортковского сельского поселения</t>
  </si>
  <si>
    <t>Прогноз  бюджета Затеихинского сельского поселения</t>
  </si>
  <si>
    <t>Прогноз  бюджета Сеготского сельского поселения</t>
  </si>
  <si>
    <t>таблица №1</t>
  </si>
  <si>
    <t>таблица №2</t>
  </si>
  <si>
    <t>таблица №3</t>
  </si>
  <si>
    <t>таблица №4</t>
  </si>
  <si>
    <t>Прогноз консолидированного бюджета Пучежского муниципального района на 2023-2032</t>
  </si>
  <si>
    <t>2032 год</t>
  </si>
  <si>
    <t>2033 год</t>
  </si>
  <si>
    <t>2031 год</t>
  </si>
  <si>
    <t>Налог, взимаемый в связи с применением упрощенной системы налогообложения</t>
  </si>
  <si>
    <t>Прогноз основных характеристик и иных показателей бюджета Пучежского городского поселения</t>
  </si>
  <si>
    <t>Прогноз доходов бюджета Пучежского городского поселения</t>
  </si>
  <si>
    <t xml:space="preserve">Прогноз расходов бюджета Пучежского городского поселения </t>
  </si>
  <si>
    <t>Прогноз  бюджета Пучежского муниципального района</t>
  </si>
  <si>
    <t>Прогноз муниципального долга Пучежского городского поселения на 2023-2033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</si>
</sst>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"/>
  </numFmts>
  <fonts count="3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172" fontId="11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72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 horizontal="justify" vertical="center" wrapText="1"/>
    </xf>
    <xf numFmtId="172" fontId="0" fillId="0" borderId="0" xfId="0" applyNumberFormat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16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horizontal="justify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177" fontId="2" fillId="0" borderId="10" xfId="0" applyNumberFormat="1" applyFont="1" applyFill="1" applyBorder="1" applyAlignment="1">
      <alignment horizontal="justify" vertical="center" wrapText="1"/>
    </xf>
    <xf numFmtId="177" fontId="2" fillId="0" borderId="10" xfId="0" applyNumberFormat="1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44.00390625" style="0" customWidth="1"/>
    <col min="2" max="2" width="13.7109375" style="0" hidden="1" customWidth="1"/>
    <col min="3" max="3" width="12.8515625" style="0" hidden="1" customWidth="1"/>
    <col min="4" max="4" width="0.289062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04.2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  <c r="M2" s="1" t="s">
        <v>85</v>
      </c>
      <c r="N2" s="1" t="s">
        <v>83</v>
      </c>
      <c r="O2" s="1" t="s">
        <v>84</v>
      </c>
    </row>
    <row r="3" spans="1:15" ht="75">
      <c r="A3" s="2" t="s">
        <v>4</v>
      </c>
      <c r="B3" s="9">
        <f>B4+B7</f>
        <v>101804.70000000001</v>
      </c>
      <c r="C3" s="9">
        <f aca="true" t="shared" si="0" ref="C3:O3">C4+C7</f>
        <v>98062.60200000001</v>
      </c>
      <c r="D3" s="9">
        <f t="shared" si="0"/>
        <v>98565.66604000001</v>
      </c>
      <c r="E3" s="73">
        <f t="shared" si="0"/>
        <v>149448.1</v>
      </c>
      <c r="F3" s="73">
        <f t="shared" si="0"/>
        <v>113957.5</v>
      </c>
      <c r="G3" s="73">
        <f t="shared" si="0"/>
        <v>115736.6</v>
      </c>
      <c r="H3" s="61">
        <f t="shared" si="0"/>
        <v>118152.932</v>
      </c>
      <c r="I3" s="73">
        <f t="shared" si="0"/>
        <v>120627.75064</v>
      </c>
      <c r="J3" s="73">
        <f t="shared" si="0"/>
        <v>123163.24165280002</v>
      </c>
      <c r="K3" s="73">
        <f t="shared" si="0"/>
        <v>125761.73608585601</v>
      </c>
      <c r="L3" s="73">
        <f t="shared" si="0"/>
        <v>128425.72336757313</v>
      </c>
      <c r="M3" s="73">
        <f t="shared" si="0"/>
        <v>131157.86565092462</v>
      </c>
      <c r="N3" s="73">
        <f t="shared" si="0"/>
        <v>133961.0135615431</v>
      </c>
      <c r="O3" s="73">
        <f t="shared" si="0"/>
        <v>136838.22349013397</v>
      </c>
    </row>
    <row r="4" spans="1:15" ht="18.75">
      <c r="A4" s="3" t="s">
        <v>5</v>
      </c>
      <c r="B4" s="3">
        <f>B5+B6</f>
        <v>33883.1</v>
      </c>
      <c r="C4" s="9">
        <f aca="true" t="shared" si="1" ref="C4:O4">C5+C6</f>
        <v>31869.002</v>
      </c>
      <c r="D4" s="9">
        <f t="shared" si="1"/>
        <v>31766.566039999998</v>
      </c>
      <c r="E4" s="73">
        <f t="shared" si="1"/>
        <v>58475.200000000004</v>
      </c>
      <c r="F4" s="73">
        <f t="shared" si="1"/>
        <v>60687.9</v>
      </c>
      <c r="G4" s="73">
        <f t="shared" si="1"/>
        <v>62467.00000000001</v>
      </c>
      <c r="H4" s="73">
        <f t="shared" si="1"/>
        <v>63817.94000000001</v>
      </c>
      <c r="I4" s="73">
        <f t="shared" si="1"/>
        <v>65206.0588</v>
      </c>
      <c r="J4" s="73">
        <f t="shared" si="1"/>
        <v>66633.11597600002</v>
      </c>
      <c r="K4" s="73">
        <f t="shared" si="1"/>
        <v>68101.00789552</v>
      </c>
      <c r="L4" s="73">
        <f t="shared" si="1"/>
        <v>69611.7806134304</v>
      </c>
      <c r="M4" s="73">
        <f t="shared" si="1"/>
        <v>71167.64404169902</v>
      </c>
      <c r="N4" s="73">
        <f t="shared" si="1"/>
        <v>72770.987520133</v>
      </c>
      <c r="O4" s="73">
        <f t="shared" si="1"/>
        <v>74424.39692789566</v>
      </c>
    </row>
    <row r="5" spans="1:15" ht="18.75">
      <c r="A5" s="5" t="s">
        <v>6</v>
      </c>
      <c r="B5" s="3">
        <f>B15</f>
        <v>24196.5</v>
      </c>
      <c r="C5" s="9">
        <f aca="true" t="shared" si="2" ref="C5:O5">C15</f>
        <v>21911.87</v>
      </c>
      <c r="D5" s="9">
        <f t="shared" si="2"/>
        <v>21535.6914</v>
      </c>
      <c r="E5" s="73">
        <f t="shared" si="2"/>
        <v>47898.4</v>
      </c>
      <c r="F5" s="73">
        <f t="shared" si="2"/>
        <v>49799.4</v>
      </c>
      <c r="G5" s="73">
        <f t="shared" si="2"/>
        <v>51291.600000000006</v>
      </c>
      <c r="H5" s="73">
        <f t="shared" si="2"/>
        <v>52419.03200000001</v>
      </c>
      <c r="I5" s="73">
        <f t="shared" si="2"/>
        <v>53579.17264</v>
      </c>
      <c r="J5" s="73">
        <f t="shared" si="2"/>
        <v>54773.69209280001</v>
      </c>
      <c r="K5" s="73">
        <f t="shared" si="2"/>
        <v>56004.395534655996</v>
      </c>
      <c r="L5" s="73">
        <f t="shared" si="2"/>
        <v>57273.23600534912</v>
      </c>
      <c r="M5" s="73">
        <f t="shared" si="2"/>
        <v>58582.32854145612</v>
      </c>
      <c r="N5" s="73">
        <f t="shared" si="2"/>
        <v>59933.965709885226</v>
      </c>
      <c r="O5" s="73">
        <f t="shared" si="2"/>
        <v>61330.63468144294</v>
      </c>
    </row>
    <row r="6" spans="1:15" ht="18.75">
      <c r="A6" s="5" t="s">
        <v>7</v>
      </c>
      <c r="B6" s="3">
        <f>B26</f>
        <v>9686.6</v>
      </c>
      <c r="C6" s="9">
        <f aca="true" t="shared" si="3" ref="C6:O6">C26</f>
        <v>9957.132</v>
      </c>
      <c r="D6" s="9">
        <f t="shared" si="3"/>
        <v>10230.87464</v>
      </c>
      <c r="E6" s="73">
        <f t="shared" si="3"/>
        <v>10576.800000000001</v>
      </c>
      <c r="F6" s="73">
        <f t="shared" si="3"/>
        <v>10888.500000000002</v>
      </c>
      <c r="G6" s="73">
        <f t="shared" si="3"/>
        <v>11175.400000000001</v>
      </c>
      <c r="H6" s="73">
        <f t="shared" si="3"/>
        <v>11398.908000000001</v>
      </c>
      <c r="I6" s="73">
        <f t="shared" si="3"/>
        <v>11626.886160000002</v>
      </c>
      <c r="J6" s="73">
        <f t="shared" si="3"/>
        <v>11859.423883200001</v>
      </c>
      <c r="K6" s="73">
        <f t="shared" si="3"/>
        <v>12096.612360864001</v>
      </c>
      <c r="L6" s="73">
        <f t="shared" si="3"/>
        <v>12338.544608081282</v>
      </c>
      <c r="M6" s="73">
        <f t="shared" si="3"/>
        <v>12585.315500242907</v>
      </c>
      <c r="N6" s="73">
        <f t="shared" si="3"/>
        <v>12837.021810247767</v>
      </c>
      <c r="O6" s="73">
        <f t="shared" si="3"/>
        <v>13093.76224645272</v>
      </c>
    </row>
    <row r="7" spans="1:15" ht="75">
      <c r="A7" s="3" t="s">
        <v>8</v>
      </c>
      <c r="B7" s="3">
        <f>B34</f>
        <v>67921.6</v>
      </c>
      <c r="C7" s="9">
        <f aca="true" t="shared" si="4" ref="C7:O7">C34</f>
        <v>66193.6</v>
      </c>
      <c r="D7" s="9">
        <f t="shared" si="4"/>
        <v>66799.1</v>
      </c>
      <c r="E7" s="73">
        <f t="shared" si="4"/>
        <v>90972.9</v>
      </c>
      <c r="F7" s="73">
        <f t="shared" si="4"/>
        <v>53269.6</v>
      </c>
      <c r="G7" s="73">
        <f t="shared" si="4"/>
        <v>53269.6</v>
      </c>
      <c r="H7" s="73">
        <f>H34</f>
        <v>54334.992</v>
      </c>
      <c r="I7" s="73">
        <f t="shared" si="4"/>
        <v>55421.69184</v>
      </c>
      <c r="J7" s="73">
        <f t="shared" si="4"/>
        <v>56530.1256768</v>
      </c>
      <c r="K7" s="73">
        <f t="shared" si="4"/>
        <v>57660.728190336005</v>
      </c>
      <c r="L7" s="73">
        <f t="shared" si="4"/>
        <v>58813.94275414273</v>
      </c>
      <c r="M7" s="73">
        <f t="shared" si="4"/>
        <v>59990.221609225584</v>
      </c>
      <c r="N7" s="73">
        <f t="shared" si="4"/>
        <v>61190.0260414101</v>
      </c>
      <c r="O7" s="73">
        <f t="shared" si="4"/>
        <v>62413.826562238304</v>
      </c>
    </row>
    <row r="8" spans="1:15" ht="93.75">
      <c r="A8" s="2" t="s">
        <v>9</v>
      </c>
      <c r="B8" s="3">
        <f>B41</f>
        <v>102864.90000000001</v>
      </c>
      <c r="C8" s="9">
        <f>C41</f>
        <v>99367.4934</v>
      </c>
      <c r="D8" s="9">
        <f>D41</f>
        <v>99864.330867</v>
      </c>
      <c r="E8" s="73">
        <f>E41</f>
        <v>148275.7</v>
      </c>
      <c r="F8" s="73">
        <f aca="true" t="shared" si="5" ref="F8:N8">F41</f>
        <v>112784.8</v>
      </c>
      <c r="G8" s="73">
        <f t="shared" si="5"/>
        <v>115736.6</v>
      </c>
      <c r="H8" s="73">
        <f t="shared" si="5"/>
        <v>118152.9</v>
      </c>
      <c r="I8" s="73">
        <f t="shared" si="5"/>
        <v>120627.73895999999</v>
      </c>
      <c r="J8" s="73">
        <f t="shared" si="5"/>
        <v>123163.278496096</v>
      </c>
      <c r="K8" s="73">
        <f t="shared" si="5"/>
        <v>125761.69704556865</v>
      </c>
      <c r="L8" s="73">
        <f t="shared" si="5"/>
        <v>128425.76626311499</v>
      </c>
      <c r="M8" s="73">
        <f t="shared" si="5"/>
        <v>131157.9147932199</v>
      </c>
      <c r="N8" s="73">
        <f t="shared" si="5"/>
        <v>133960.99251156568</v>
      </c>
      <c r="O8" s="73">
        <f>O3</f>
        <v>136838.22349013397</v>
      </c>
    </row>
    <row r="9" spans="1:15" s="50" customFormat="1" ht="18.75">
      <c r="A9" s="48" t="s">
        <v>10</v>
      </c>
      <c r="B9" s="60">
        <f>B3-B8</f>
        <v>-1060.199999999997</v>
      </c>
      <c r="C9" s="60">
        <f aca="true" t="shared" si="6" ref="C9:N9">C3-C8</f>
        <v>-1304.8913999999932</v>
      </c>
      <c r="D9" s="60">
        <f t="shared" si="6"/>
        <v>-1298.664826999986</v>
      </c>
      <c r="E9" s="75">
        <f t="shared" si="6"/>
        <v>1172.3999999999942</v>
      </c>
      <c r="F9" s="61">
        <f t="shared" si="6"/>
        <v>1172.699999999997</v>
      </c>
      <c r="G9" s="61">
        <f t="shared" si="6"/>
        <v>0</v>
      </c>
      <c r="H9" s="61">
        <f t="shared" si="6"/>
        <v>0.03200000000651926</v>
      </c>
      <c r="I9" s="61">
        <f t="shared" si="6"/>
        <v>0.011680000010528602</v>
      </c>
      <c r="J9" s="61">
        <f t="shared" si="6"/>
        <v>-0.03684329598036129</v>
      </c>
      <c r="K9" s="61">
        <f t="shared" si="6"/>
        <v>0.039040287359966896</v>
      </c>
      <c r="L9" s="61">
        <f t="shared" si="6"/>
        <v>-0.04289554186107125</v>
      </c>
      <c r="M9" s="61">
        <f t="shared" si="6"/>
        <v>-0.04914229529094882</v>
      </c>
      <c r="N9" s="61">
        <f t="shared" si="6"/>
        <v>0.02104997742571868</v>
      </c>
      <c r="O9" s="61">
        <f>O3-O8</f>
        <v>0</v>
      </c>
    </row>
    <row r="10" spans="1:15" ht="18.75">
      <c r="A10" s="2" t="s">
        <v>11</v>
      </c>
      <c r="B10" s="3"/>
      <c r="C10" s="3"/>
      <c r="D10" s="3"/>
      <c r="E10" s="3">
        <v>1172.4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</row>
    <row r="12" spans="1:15" ht="93.75" customHeight="1">
      <c r="A12" s="1" t="s">
        <v>0</v>
      </c>
      <c r="B12" s="1" t="s">
        <v>1</v>
      </c>
      <c r="C12" s="1" t="s">
        <v>2</v>
      </c>
      <c r="D12" s="1" t="s">
        <v>12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  <c r="M12" s="1" t="s">
        <v>85</v>
      </c>
      <c r="N12" s="1" t="s">
        <v>83</v>
      </c>
      <c r="O12" s="1" t="s">
        <v>84</v>
      </c>
    </row>
    <row r="13" spans="1:15" ht="75">
      <c r="A13" s="6" t="s">
        <v>23</v>
      </c>
      <c r="B13" s="3">
        <f aca="true" t="shared" si="7" ref="B13:O13">B14+B34</f>
        <v>101804.70000000001</v>
      </c>
      <c r="C13" s="9">
        <f t="shared" si="7"/>
        <v>98062.60200000001</v>
      </c>
      <c r="D13" s="9">
        <f t="shared" si="7"/>
        <v>98565.66604000001</v>
      </c>
      <c r="E13" s="76">
        <f t="shared" si="7"/>
        <v>149448.1</v>
      </c>
      <c r="F13" s="76">
        <f t="shared" si="7"/>
        <v>113957.5</v>
      </c>
      <c r="G13" s="76">
        <f t="shared" si="7"/>
        <v>115736.6</v>
      </c>
      <c r="H13" s="76">
        <f t="shared" si="7"/>
        <v>118152.932</v>
      </c>
      <c r="I13" s="76">
        <f t="shared" si="7"/>
        <v>120627.75064</v>
      </c>
      <c r="J13" s="76">
        <f t="shared" si="7"/>
        <v>123163.24165280002</v>
      </c>
      <c r="K13" s="76">
        <f t="shared" si="7"/>
        <v>125761.73608585601</v>
      </c>
      <c r="L13" s="76">
        <f t="shared" si="7"/>
        <v>128425.72336757313</v>
      </c>
      <c r="M13" s="76">
        <f t="shared" si="7"/>
        <v>131157.86565092462</v>
      </c>
      <c r="N13" s="76">
        <f t="shared" si="7"/>
        <v>133961.0135615431</v>
      </c>
      <c r="O13" s="76">
        <f t="shared" si="7"/>
        <v>136838.22349013397</v>
      </c>
    </row>
    <row r="14" spans="1:15" ht="37.5">
      <c r="A14" s="6" t="s">
        <v>24</v>
      </c>
      <c r="B14" s="3">
        <f aca="true" t="shared" si="8" ref="B14:O14">B15+B26</f>
        <v>33883.1</v>
      </c>
      <c r="C14" s="9">
        <f t="shared" si="8"/>
        <v>31869.002</v>
      </c>
      <c r="D14" s="9">
        <f t="shared" si="8"/>
        <v>31766.566039999998</v>
      </c>
      <c r="E14" s="76">
        <f t="shared" si="8"/>
        <v>58475.200000000004</v>
      </c>
      <c r="F14" s="76">
        <f t="shared" si="8"/>
        <v>60687.9</v>
      </c>
      <c r="G14" s="76">
        <f t="shared" si="8"/>
        <v>62467.00000000001</v>
      </c>
      <c r="H14" s="76">
        <f t="shared" si="8"/>
        <v>63817.94000000001</v>
      </c>
      <c r="I14" s="76">
        <f t="shared" si="8"/>
        <v>65206.0588</v>
      </c>
      <c r="J14" s="76">
        <f t="shared" si="8"/>
        <v>66633.11597600002</v>
      </c>
      <c r="K14" s="76">
        <f t="shared" si="8"/>
        <v>68101.00789552</v>
      </c>
      <c r="L14" s="76">
        <f t="shared" si="8"/>
        <v>69611.7806134304</v>
      </c>
      <c r="M14" s="76">
        <f t="shared" si="8"/>
        <v>71167.64404169902</v>
      </c>
      <c r="N14" s="76">
        <f t="shared" si="8"/>
        <v>72770.987520133</v>
      </c>
      <c r="O14" s="76">
        <f t="shared" si="8"/>
        <v>74424.39692789566</v>
      </c>
    </row>
    <row r="15" spans="1:15" ht="19.5">
      <c r="A15" s="7" t="s">
        <v>25</v>
      </c>
      <c r="B15" s="9">
        <f aca="true" t="shared" si="9" ref="B15:O15">B16+B17+B18+B19+B20+B21+B22+B23+B24+B25</f>
        <v>24196.5</v>
      </c>
      <c r="C15" s="9">
        <f t="shared" si="9"/>
        <v>21911.87</v>
      </c>
      <c r="D15" s="9">
        <f t="shared" si="9"/>
        <v>21535.6914</v>
      </c>
      <c r="E15" s="76">
        <f t="shared" si="9"/>
        <v>47898.4</v>
      </c>
      <c r="F15" s="76">
        <f t="shared" si="9"/>
        <v>49799.4</v>
      </c>
      <c r="G15" s="76">
        <f t="shared" si="9"/>
        <v>51291.600000000006</v>
      </c>
      <c r="H15" s="76">
        <f t="shared" si="9"/>
        <v>52419.03200000001</v>
      </c>
      <c r="I15" s="76">
        <f t="shared" si="9"/>
        <v>53579.17264</v>
      </c>
      <c r="J15" s="76">
        <f t="shared" si="9"/>
        <v>54773.69209280001</v>
      </c>
      <c r="K15" s="76">
        <f t="shared" si="9"/>
        <v>56004.395534655996</v>
      </c>
      <c r="L15" s="76">
        <f t="shared" si="9"/>
        <v>57273.23600534912</v>
      </c>
      <c r="M15" s="76">
        <f t="shared" si="9"/>
        <v>58582.32854145612</v>
      </c>
      <c r="N15" s="76">
        <f t="shared" si="9"/>
        <v>59933.965709885226</v>
      </c>
      <c r="O15" s="76">
        <f t="shared" si="9"/>
        <v>61330.63468144294</v>
      </c>
    </row>
    <row r="16" spans="1:15" ht="18.75">
      <c r="A16" s="8" t="s">
        <v>26</v>
      </c>
      <c r="B16" s="3">
        <v>17378.2</v>
      </c>
      <c r="C16" s="9">
        <f>B16*1.02</f>
        <v>17725.764000000003</v>
      </c>
      <c r="D16" s="9">
        <f aca="true" t="shared" si="10" ref="D16:O16">C16*1.02</f>
        <v>18080.279280000002</v>
      </c>
      <c r="E16" s="76">
        <v>32325.8</v>
      </c>
      <c r="F16" s="76">
        <v>33342</v>
      </c>
      <c r="G16" s="76">
        <v>33859.4</v>
      </c>
      <c r="H16" s="76">
        <f t="shared" si="10"/>
        <v>34536.588</v>
      </c>
      <c r="I16" s="76">
        <f t="shared" si="10"/>
        <v>35227.319760000006</v>
      </c>
      <c r="J16" s="76">
        <f t="shared" si="10"/>
        <v>35931.866155200005</v>
      </c>
      <c r="K16" s="76">
        <f t="shared" si="10"/>
        <v>36650.503478304</v>
      </c>
      <c r="L16" s="76">
        <f t="shared" si="10"/>
        <v>37383.51354787008</v>
      </c>
      <c r="M16" s="76">
        <f t="shared" si="10"/>
        <v>38131.183818827485</v>
      </c>
      <c r="N16" s="76">
        <f t="shared" si="10"/>
        <v>38893.80749520403</v>
      </c>
      <c r="O16" s="76">
        <f t="shared" si="10"/>
        <v>39671.68364510812</v>
      </c>
    </row>
    <row r="17" spans="1:15" ht="56.25">
      <c r="A17" s="8" t="s">
        <v>27</v>
      </c>
      <c r="B17" s="3">
        <v>2446.3</v>
      </c>
      <c r="C17" s="9">
        <f>B17*1.02</f>
        <v>2495.226</v>
      </c>
      <c r="D17" s="9">
        <f aca="true" t="shared" si="11" ref="D17:O18">C17*1.02</f>
        <v>2545.13052</v>
      </c>
      <c r="E17" s="76">
        <v>11572.6</v>
      </c>
      <c r="F17" s="76">
        <v>12152.4</v>
      </c>
      <c r="G17" s="76">
        <v>13012.2</v>
      </c>
      <c r="H17" s="76">
        <f t="shared" si="11"/>
        <v>13272.444000000001</v>
      </c>
      <c r="I17" s="76">
        <f t="shared" si="11"/>
        <v>13537.892880000001</v>
      </c>
      <c r="J17" s="76">
        <f t="shared" si="11"/>
        <v>13808.6507376</v>
      </c>
      <c r="K17" s="76">
        <f t="shared" si="11"/>
        <v>14084.823752352002</v>
      </c>
      <c r="L17" s="76">
        <f t="shared" si="11"/>
        <v>14366.520227399042</v>
      </c>
      <c r="M17" s="76">
        <f t="shared" si="11"/>
        <v>14653.850631947023</v>
      </c>
      <c r="N17" s="76">
        <f t="shared" si="11"/>
        <v>14946.927644585965</v>
      </c>
      <c r="O17" s="76">
        <f t="shared" si="11"/>
        <v>15245.866197477684</v>
      </c>
    </row>
    <row r="18" spans="1:15" ht="56.25">
      <c r="A18" s="8" t="s">
        <v>86</v>
      </c>
      <c r="B18" s="3">
        <v>3500</v>
      </c>
      <c r="C18" s="3">
        <v>800</v>
      </c>
      <c r="D18" s="3">
        <v>0</v>
      </c>
      <c r="E18" s="76">
        <v>1600</v>
      </c>
      <c r="F18" s="76">
        <v>1600</v>
      </c>
      <c r="G18" s="76">
        <v>1600</v>
      </c>
      <c r="H18" s="76">
        <f t="shared" si="11"/>
        <v>1632</v>
      </c>
      <c r="I18" s="76">
        <f t="shared" si="11"/>
        <v>1664.64</v>
      </c>
      <c r="J18" s="76">
        <f t="shared" si="11"/>
        <v>1697.9328</v>
      </c>
      <c r="K18" s="76">
        <f t="shared" si="11"/>
        <v>1731.891456</v>
      </c>
      <c r="L18" s="76">
        <f t="shared" si="11"/>
        <v>1766.5292851200002</v>
      </c>
      <c r="M18" s="76">
        <f t="shared" si="11"/>
        <v>1801.8598708224001</v>
      </c>
      <c r="N18" s="76">
        <f t="shared" si="11"/>
        <v>1837.897068238848</v>
      </c>
      <c r="O18" s="76">
        <f t="shared" si="11"/>
        <v>1874.655009603625</v>
      </c>
    </row>
    <row r="19" spans="1:15" ht="37.5">
      <c r="A19" s="8" t="s">
        <v>29</v>
      </c>
      <c r="B19" s="3">
        <v>105</v>
      </c>
      <c r="C19" s="9">
        <f>B19*1.02</f>
        <v>107.10000000000001</v>
      </c>
      <c r="D19" s="9">
        <f aca="true" t="shared" si="12" ref="D19:O19">C19*1.02</f>
        <v>109.242</v>
      </c>
      <c r="E19" s="76">
        <v>200</v>
      </c>
      <c r="F19" s="76">
        <v>220</v>
      </c>
      <c r="G19" s="76">
        <v>250</v>
      </c>
      <c r="H19" s="76">
        <f t="shared" si="12"/>
        <v>255</v>
      </c>
      <c r="I19" s="76">
        <f t="shared" si="12"/>
        <v>260.1</v>
      </c>
      <c r="J19" s="76">
        <f t="shared" si="12"/>
        <v>265.302</v>
      </c>
      <c r="K19" s="76">
        <f t="shared" si="12"/>
        <v>270.60804</v>
      </c>
      <c r="L19" s="76">
        <f t="shared" si="12"/>
        <v>276.0202008</v>
      </c>
      <c r="M19" s="76">
        <f t="shared" si="12"/>
        <v>281.540604816</v>
      </c>
      <c r="N19" s="76">
        <f t="shared" si="12"/>
        <v>287.17141691232</v>
      </c>
      <c r="O19" s="76">
        <f t="shared" si="12"/>
        <v>292.91484525056643</v>
      </c>
    </row>
    <row r="20" spans="1:15" ht="56.25">
      <c r="A20" s="8" t="s">
        <v>30</v>
      </c>
      <c r="B20" s="3">
        <v>18</v>
      </c>
      <c r="C20" s="9">
        <f>B20*1.1</f>
        <v>19.8</v>
      </c>
      <c r="D20" s="9">
        <f aca="true" t="shared" si="13" ref="D20:O20">C20*1.1</f>
        <v>21.78</v>
      </c>
      <c r="E20" s="76">
        <v>1000</v>
      </c>
      <c r="F20" s="76">
        <v>1235</v>
      </c>
      <c r="G20" s="76">
        <v>1270</v>
      </c>
      <c r="H20" s="76">
        <f t="shared" si="13"/>
        <v>1397</v>
      </c>
      <c r="I20" s="76">
        <f t="shared" si="13"/>
        <v>1536.7</v>
      </c>
      <c r="J20" s="76">
        <f t="shared" si="13"/>
        <v>1690.3700000000001</v>
      </c>
      <c r="K20" s="76">
        <f t="shared" si="13"/>
        <v>1859.4070000000004</v>
      </c>
      <c r="L20" s="76">
        <f t="shared" si="13"/>
        <v>2045.3477000000005</v>
      </c>
      <c r="M20" s="76">
        <f t="shared" si="13"/>
        <v>2249.882470000001</v>
      </c>
      <c r="N20" s="76">
        <f t="shared" si="13"/>
        <v>2474.870717000001</v>
      </c>
      <c r="O20" s="76">
        <f t="shared" si="13"/>
        <v>2722.3577887000015</v>
      </c>
    </row>
    <row r="21" spans="1:15" ht="37.5">
      <c r="A21" s="8" t="s">
        <v>31</v>
      </c>
      <c r="B21" s="3">
        <v>0</v>
      </c>
      <c r="C21" s="3">
        <v>0</v>
      </c>
      <c r="D21" s="3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 ht="18.75">
      <c r="A22" s="8" t="s">
        <v>32</v>
      </c>
      <c r="B22" s="3">
        <v>0</v>
      </c>
      <c r="C22" s="3">
        <v>0</v>
      </c>
      <c r="D22" s="3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 ht="56.25">
      <c r="A23" s="8" t="s">
        <v>33</v>
      </c>
      <c r="B23" s="3">
        <v>0</v>
      </c>
      <c r="C23" s="3">
        <v>0</v>
      </c>
      <c r="D23" s="3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1:15" ht="18.75">
      <c r="A24" s="8" t="s">
        <v>34</v>
      </c>
      <c r="B24" s="3">
        <v>749</v>
      </c>
      <c r="C24" s="9">
        <f>B24*1.02</f>
        <v>763.98</v>
      </c>
      <c r="D24" s="9">
        <f aca="true" t="shared" si="14" ref="D24:O24">C24*1.02</f>
        <v>779.2596</v>
      </c>
      <c r="E24" s="76">
        <v>1200</v>
      </c>
      <c r="F24" s="76">
        <v>1250</v>
      </c>
      <c r="G24" s="76">
        <v>1300</v>
      </c>
      <c r="H24" s="76">
        <f t="shared" si="14"/>
        <v>1326</v>
      </c>
      <c r="I24" s="76">
        <f t="shared" si="14"/>
        <v>1352.52</v>
      </c>
      <c r="J24" s="76">
        <f t="shared" si="14"/>
        <v>1379.5704</v>
      </c>
      <c r="K24" s="76">
        <f t="shared" si="14"/>
        <v>1407.161808</v>
      </c>
      <c r="L24" s="76">
        <f t="shared" si="14"/>
        <v>1435.30504416</v>
      </c>
      <c r="M24" s="76">
        <f t="shared" si="14"/>
        <v>1464.0111450432</v>
      </c>
      <c r="N24" s="76">
        <f t="shared" si="14"/>
        <v>1493.291367944064</v>
      </c>
      <c r="O24" s="76">
        <f t="shared" si="14"/>
        <v>1523.1571953029452</v>
      </c>
    </row>
    <row r="25" spans="1:15" ht="56.25">
      <c r="A25" s="8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9.5">
      <c r="A26" s="7" t="s">
        <v>36</v>
      </c>
      <c r="B26" s="3">
        <f>B27+B28+B29+B30+B31+B32+B33</f>
        <v>9686.6</v>
      </c>
      <c r="C26" s="3">
        <f aca="true" t="shared" si="15" ref="C26:O26">C27+C28+C29+C30+C31+C32+C33</f>
        <v>9957.132</v>
      </c>
      <c r="D26" s="3">
        <f t="shared" si="15"/>
        <v>10230.87464</v>
      </c>
      <c r="E26" s="9">
        <f t="shared" si="15"/>
        <v>10576.800000000001</v>
      </c>
      <c r="F26" s="9">
        <f t="shared" si="15"/>
        <v>10888.500000000002</v>
      </c>
      <c r="G26" s="9">
        <f t="shared" si="15"/>
        <v>11175.400000000001</v>
      </c>
      <c r="H26" s="9">
        <f t="shared" si="15"/>
        <v>11398.908000000001</v>
      </c>
      <c r="I26" s="9">
        <f t="shared" si="15"/>
        <v>11626.886160000002</v>
      </c>
      <c r="J26" s="9">
        <f t="shared" si="15"/>
        <v>11859.423883200001</v>
      </c>
      <c r="K26" s="9">
        <f t="shared" si="15"/>
        <v>12096.612360864001</v>
      </c>
      <c r="L26" s="9">
        <f t="shared" si="15"/>
        <v>12338.544608081282</v>
      </c>
      <c r="M26" s="9">
        <f t="shared" si="15"/>
        <v>12585.315500242907</v>
      </c>
      <c r="N26" s="9">
        <f t="shared" si="15"/>
        <v>12837.021810247767</v>
      </c>
      <c r="O26" s="9">
        <f t="shared" si="15"/>
        <v>13093.76224645272</v>
      </c>
    </row>
    <row r="27" spans="1:15" ht="75">
      <c r="A27" s="8" t="s">
        <v>37</v>
      </c>
      <c r="B27" s="3">
        <v>660</v>
      </c>
      <c r="C27" s="3">
        <v>670</v>
      </c>
      <c r="D27" s="3">
        <v>680</v>
      </c>
      <c r="E27" s="76">
        <v>1434.8</v>
      </c>
      <c r="F27" s="76">
        <v>1477.8</v>
      </c>
      <c r="G27" s="76">
        <v>1492.8</v>
      </c>
      <c r="H27" s="76">
        <f aca="true" t="shared" si="16" ref="H27:O27">G27*1.02</f>
        <v>1522.656</v>
      </c>
      <c r="I27" s="76">
        <f t="shared" si="16"/>
        <v>1553.10912</v>
      </c>
      <c r="J27" s="76">
        <f t="shared" si="16"/>
        <v>1584.1713024</v>
      </c>
      <c r="K27" s="76">
        <f t="shared" si="16"/>
        <v>1615.854728448</v>
      </c>
      <c r="L27" s="76">
        <f t="shared" si="16"/>
        <v>1648.1718230169602</v>
      </c>
      <c r="M27" s="76">
        <f t="shared" si="16"/>
        <v>1681.1352594772993</v>
      </c>
      <c r="N27" s="76">
        <f t="shared" si="16"/>
        <v>1714.7579646668453</v>
      </c>
      <c r="O27" s="76">
        <f t="shared" si="16"/>
        <v>1749.0531239601821</v>
      </c>
    </row>
    <row r="28" spans="1:15" ht="37.5">
      <c r="A28" s="8" t="s">
        <v>38</v>
      </c>
      <c r="B28" s="3">
        <v>428</v>
      </c>
      <c r="C28" s="9">
        <f>B28*1.02</f>
        <v>436.56</v>
      </c>
      <c r="D28" s="9">
        <f aca="true" t="shared" si="17" ref="D28:O28">C28*1.02</f>
        <v>445.2912</v>
      </c>
      <c r="E28" s="76">
        <v>163.9</v>
      </c>
      <c r="F28" s="76">
        <v>170.4</v>
      </c>
      <c r="G28" s="76">
        <v>177.3</v>
      </c>
      <c r="H28" s="76">
        <f>G28*1.02</f>
        <v>180.846</v>
      </c>
      <c r="I28" s="76">
        <f t="shared" si="17"/>
        <v>184.46292</v>
      </c>
      <c r="J28" s="76">
        <f t="shared" si="17"/>
        <v>188.1521784</v>
      </c>
      <c r="K28" s="76">
        <f t="shared" si="17"/>
        <v>191.915221968</v>
      </c>
      <c r="L28" s="76">
        <f t="shared" si="17"/>
        <v>195.75352640736</v>
      </c>
      <c r="M28" s="76">
        <f t="shared" si="17"/>
        <v>199.6685969355072</v>
      </c>
      <c r="N28" s="76">
        <f t="shared" si="17"/>
        <v>203.66196887421734</v>
      </c>
      <c r="O28" s="76">
        <f t="shared" si="17"/>
        <v>207.7352082517017</v>
      </c>
    </row>
    <row r="29" spans="1:15" ht="56.25">
      <c r="A29" s="8" t="s">
        <v>39</v>
      </c>
      <c r="B29" s="3">
        <v>6727.7</v>
      </c>
      <c r="C29" s="9">
        <f>B29*1.02</f>
        <v>6862.254</v>
      </c>
      <c r="D29" s="9">
        <f>C29*1.02</f>
        <v>6999.49908</v>
      </c>
      <c r="E29" s="76">
        <v>8729.5</v>
      </c>
      <c r="F29" s="76">
        <v>8999.7</v>
      </c>
      <c r="G29" s="76">
        <v>9273.7</v>
      </c>
      <c r="H29" s="76">
        <f>G29*1.02</f>
        <v>9459.174</v>
      </c>
      <c r="I29" s="76">
        <f aca="true" t="shared" si="18" ref="I29:O30">H29*1.02</f>
        <v>9648.35748</v>
      </c>
      <c r="J29" s="76">
        <f t="shared" si="18"/>
        <v>9841.324629600002</v>
      </c>
      <c r="K29" s="76">
        <f t="shared" si="18"/>
        <v>10038.151122192001</v>
      </c>
      <c r="L29" s="76">
        <f t="shared" si="18"/>
        <v>10238.91414463584</v>
      </c>
      <c r="M29" s="76">
        <f t="shared" si="18"/>
        <v>10443.692427528558</v>
      </c>
      <c r="N29" s="76">
        <f t="shared" si="18"/>
        <v>10652.56627607913</v>
      </c>
      <c r="O29" s="76">
        <f t="shared" si="18"/>
        <v>10865.617601600712</v>
      </c>
    </row>
    <row r="30" spans="1:15" ht="37.5">
      <c r="A30" s="8" t="s">
        <v>40</v>
      </c>
      <c r="B30" s="3">
        <v>1000</v>
      </c>
      <c r="C30" s="3">
        <v>1100</v>
      </c>
      <c r="D30" s="3">
        <v>1200</v>
      </c>
      <c r="E30" s="3">
        <v>165</v>
      </c>
      <c r="F30" s="3">
        <v>167</v>
      </c>
      <c r="G30" s="3">
        <v>168</v>
      </c>
      <c r="H30" s="9">
        <f>G30*1.02</f>
        <v>171.36</v>
      </c>
      <c r="I30" s="9">
        <f t="shared" si="18"/>
        <v>174.7872</v>
      </c>
      <c r="J30" s="9">
        <f t="shared" si="18"/>
        <v>178.28294400000001</v>
      </c>
      <c r="K30" s="9">
        <f t="shared" si="18"/>
        <v>181.84860288000002</v>
      </c>
      <c r="L30" s="9">
        <f t="shared" si="18"/>
        <v>185.4855749376</v>
      </c>
      <c r="M30" s="9">
        <f t="shared" si="18"/>
        <v>189.195286436352</v>
      </c>
      <c r="N30" s="9">
        <f t="shared" si="18"/>
        <v>192.97919216507904</v>
      </c>
      <c r="O30" s="9">
        <f t="shared" si="18"/>
        <v>196.83877600838062</v>
      </c>
    </row>
    <row r="31" spans="1:15" ht="37.5">
      <c r="A31" s="8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37.5">
      <c r="A32" s="8" t="s">
        <v>42</v>
      </c>
      <c r="B32" s="3">
        <v>870.9</v>
      </c>
      <c r="C32" s="9">
        <f>B32*1.02</f>
        <v>888.318</v>
      </c>
      <c r="D32" s="9">
        <f aca="true" t="shared" si="19" ref="D32:O32">C32*1.02</f>
        <v>906.08436</v>
      </c>
      <c r="E32" s="9">
        <v>83.6</v>
      </c>
      <c r="F32" s="9">
        <v>73.6</v>
      </c>
      <c r="G32" s="9">
        <v>63.6</v>
      </c>
      <c r="H32" s="9">
        <f t="shared" si="19"/>
        <v>64.872</v>
      </c>
      <c r="I32" s="9">
        <f t="shared" si="19"/>
        <v>66.16944</v>
      </c>
      <c r="J32" s="9">
        <f t="shared" si="19"/>
        <v>67.4928288</v>
      </c>
      <c r="K32" s="9">
        <f t="shared" si="19"/>
        <v>68.842685376</v>
      </c>
      <c r="L32" s="9">
        <f t="shared" si="19"/>
        <v>70.21953908352</v>
      </c>
      <c r="M32" s="9">
        <f t="shared" si="19"/>
        <v>71.6239298651904</v>
      </c>
      <c r="N32" s="9">
        <f t="shared" si="19"/>
        <v>73.05640846249422</v>
      </c>
      <c r="O32" s="9">
        <f t="shared" si="19"/>
        <v>74.51753663174411</v>
      </c>
    </row>
    <row r="33" spans="1:15" ht="18.75">
      <c r="A33" s="8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75">
      <c r="A34" s="6" t="s">
        <v>44</v>
      </c>
      <c r="B34" s="9">
        <f>B36+B37+B38+B35</f>
        <v>67921.6</v>
      </c>
      <c r="C34" s="9">
        <f aca="true" t="shared" si="20" ref="C34:O34">C36+C37+C38+C35</f>
        <v>66193.6</v>
      </c>
      <c r="D34" s="9">
        <f t="shared" si="20"/>
        <v>66799.1</v>
      </c>
      <c r="E34" s="76">
        <f t="shared" si="20"/>
        <v>90972.9</v>
      </c>
      <c r="F34" s="76">
        <f t="shared" si="20"/>
        <v>53269.6</v>
      </c>
      <c r="G34" s="76">
        <f t="shared" si="20"/>
        <v>53269.6</v>
      </c>
      <c r="H34" s="76">
        <f t="shared" si="20"/>
        <v>54334.992</v>
      </c>
      <c r="I34" s="76">
        <f t="shared" si="20"/>
        <v>55421.69184</v>
      </c>
      <c r="J34" s="76">
        <f t="shared" si="20"/>
        <v>56530.1256768</v>
      </c>
      <c r="K34" s="76">
        <f t="shared" si="20"/>
        <v>57660.728190336005</v>
      </c>
      <c r="L34" s="76">
        <f t="shared" si="20"/>
        <v>58813.94275414273</v>
      </c>
      <c r="M34" s="76">
        <f t="shared" si="20"/>
        <v>59990.221609225584</v>
      </c>
      <c r="N34" s="76">
        <f t="shared" si="20"/>
        <v>61190.0260414101</v>
      </c>
      <c r="O34" s="76">
        <f t="shared" si="20"/>
        <v>62413.826562238304</v>
      </c>
    </row>
    <row r="35" spans="1:15" ht="18.75">
      <c r="A35" s="8" t="s">
        <v>45</v>
      </c>
      <c r="B35" s="3">
        <v>67921.6</v>
      </c>
      <c r="C35" s="9">
        <v>66193.6</v>
      </c>
      <c r="D35" s="9">
        <v>66799.1</v>
      </c>
      <c r="E35" s="76">
        <v>90972.9</v>
      </c>
      <c r="F35" s="76">
        <v>53269.6</v>
      </c>
      <c r="G35" s="76">
        <v>53269.6</v>
      </c>
      <c r="H35" s="76">
        <f>G35*1.02</f>
        <v>54334.992</v>
      </c>
      <c r="I35" s="76">
        <f aca="true" t="shared" si="21" ref="I35:O35">H35*1.02</f>
        <v>55421.69184</v>
      </c>
      <c r="J35" s="76">
        <f t="shared" si="21"/>
        <v>56530.1256768</v>
      </c>
      <c r="K35" s="76">
        <f t="shared" si="21"/>
        <v>57660.728190336005</v>
      </c>
      <c r="L35" s="76">
        <f t="shared" si="21"/>
        <v>58813.94275414273</v>
      </c>
      <c r="M35" s="76">
        <f t="shared" si="21"/>
        <v>59990.221609225584</v>
      </c>
      <c r="N35" s="76">
        <f t="shared" si="21"/>
        <v>61190.0260414101</v>
      </c>
      <c r="O35" s="76">
        <f t="shared" si="21"/>
        <v>62413.826562238304</v>
      </c>
    </row>
    <row r="36" spans="1:15" ht="56.25">
      <c r="A36" s="8" t="s">
        <v>46</v>
      </c>
      <c r="B36" s="3">
        <v>0</v>
      </c>
      <c r="C36" s="3">
        <f>B36*1.03</f>
        <v>0</v>
      </c>
      <c r="D36" s="3">
        <f aca="true" t="shared" si="22" ref="D36:O36">C36*1.03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 t="shared" si="22"/>
        <v>0</v>
      </c>
      <c r="J36" s="3">
        <f t="shared" si="22"/>
        <v>0</v>
      </c>
      <c r="K36" s="3">
        <f t="shared" si="22"/>
        <v>0</v>
      </c>
      <c r="L36" s="3">
        <f t="shared" si="22"/>
        <v>0</v>
      </c>
      <c r="M36" s="3">
        <f t="shared" si="22"/>
        <v>0</v>
      </c>
      <c r="N36" s="3">
        <f t="shared" si="22"/>
        <v>0</v>
      </c>
      <c r="O36" s="3">
        <f t="shared" si="22"/>
        <v>0</v>
      </c>
    </row>
    <row r="37" spans="1:15" ht="37.5">
      <c r="A37" s="8" t="s">
        <v>47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37.5">
      <c r="A38" s="8" t="s">
        <v>48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131.25">
      <c r="A40" s="1" t="s">
        <v>0</v>
      </c>
      <c r="B40" s="1" t="s">
        <v>1</v>
      </c>
      <c r="C40" s="1" t="s">
        <v>2</v>
      </c>
      <c r="D40" s="1" t="s">
        <v>12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  <c r="M40" s="1" t="s">
        <v>85</v>
      </c>
      <c r="N40" s="1" t="s">
        <v>83</v>
      </c>
      <c r="O40" s="1" t="s">
        <v>84</v>
      </c>
    </row>
    <row r="41" spans="1:15" s="50" customFormat="1" ht="93.75">
      <c r="A41" s="63" t="s">
        <v>49</v>
      </c>
      <c r="B41" s="53">
        <f>B43+B44+B45+B46+B48+B47+B49+B50+B51+B52+B53+B54+B55+B56</f>
        <v>102864.90000000001</v>
      </c>
      <c r="C41" s="60">
        <f>C43+C44+C45+C46+C48+C47+C49+C50+C51+C52+C53+C54+C55+C56</f>
        <v>99367.4934</v>
      </c>
      <c r="D41" s="60">
        <f>D43+D44+D45+D46+D48+D47+D49+D50+D51+D52+D53+D54+D55+D56</f>
        <v>99864.330867</v>
      </c>
      <c r="E41" s="75">
        <f>SUM(E42:E55)</f>
        <v>148275.7</v>
      </c>
      <c r="F41" s="75">
        <f aca="true" t="shared" si="23" ref="F41:O41">SUM(F42:F55)</f>
        <v>112784.8</v>
      </c>
      <c r="G41" s="75">
        <f t="shared" si="23"/>
        <v>115736.6</v>
      </c>
      <c r="H41" s="75">
        <f t="shared" si="23"/>
        <v>118152.9</v>
      </c>
      <c r="I41" s="75">
        <f t="shared" si="23"/>
        <v>120627.73895999999</v>
      </c>
      <c r="J41" s="75">
        <f t="shared" si="23"/>
        <v>123163.278496096</v>
      </c>
      <c r="K41" s="75">
        <f t="shared" si="23"/>
        <v>125761.69704556865</v>
      </c>
      <c r="L41" s="75">
        <f t="shared" si="23"/>
        <v>128425.76626311499</v>
      </c>
      <c r="M41" s="75">
        <f t="shared" si="23"/>
        <v>131157.9147932199</v>
      </c>
      <c r="N41" s="75">
        <f t="shared" si="23"/>
        <v>133960.99251156568</v>
      </c>
      <c r="O41" s="75">
        <f t="shared" si="23"/>
        <v>136028.8939554024</v>
      </c>
    </row>
    <row r="42" spans="1:15" ht="18.75">
      <c r="A42" s="8" t="s">
        <v>50</v>
      </c>
      <c r="B42" s="3"/>
      <c r="C42" s="9"/>
      <c r="D42" s="9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0" customFormat="1" ht="18.75">
      <c r="A43" s="62" t="s">
        <v>51</v>
      </c>
      <c r="B43" s="53">
        <v>27223.9</v>
      </c>
      <c r="C43" s="60">
        <f>B43*0.966</f>
        <v>26298.2874</v>
      </c>
      <c r="D43" s="60">
        <f>C43*1.005</f>
        <v>26429.778836999998</v>
      </c>
      <c r="E43" s="77">
        <v>46650.6</v>
      </c>
      <c r="F43" s="77">
        <v>42027.6</v>
      </c>
      <c r="G43" s="77">
        <v>42027.6</v>
      </c>
      <c r="H43" s="77">
        <f>42027.6-95.4</f>
        <v>41932.2</v>
      </c>
      <c r="I43" s="77">
        <f>H43*1.0068+432.6</f>
        <v>42649.93895999999</v>
      </c>
      <c r="J43" s="77">
        <f>I43*1.0076</f>
        <v>42974.07849609599</v>
      </c>
      <c r="K43" s="77">
        <f>J43*1.007+300</f>
        <v>43574.89704556866</v>
      </c>
      <c r="L43" s="77">
        <f>K43*1.0076+300</f>
        <v>44206.06626311498</v>
      </c>
      <c r="M43" s="77">
        <f>L43*1.008+500</f>
        <v>45059.7147932199</v>
      </c>
      <c r="N43" s="77">
        <f>M43*1.008+300</f>
        <v>45720.19251156566</v>
      </c>
      <c r="O43" s="77">
        <f>N43*1.0075+200</f>
        <v>46263.09395540241</v>
      </c>
    </row>
    <row r="44" spans="1:15" s="50" customFormat="1" ht="18.75">
      <c r="A44" s="62" t="s">
        <v>52</v>
      </c>
      <c r="B44" s="53">
        <v>0</v>
      </c>
      <c r="C44" s="60">
        <f aca="true" t="shared" si="24" ref="C44:D54">B44*0.966</f>
        <v>0</v>
      </c>
      <c r="D44" s="60">
        <f aca="true" t="shared" si="25" ref="D44:D53">C44*1.005</f>
        <v>0</v>
      </c>
      <c r="E44" s="77">
        <f>D44*1.0085</f>
        <v>0</v>
      </c>
      <c r="F44" s="77">
        <f>E44*1.0085</f>
        <v>0</v>
      </c>
      <c r="G44" s="77">
        <f>F44*1.0085</f>
        <v>0</v>
      </c>
      <c r="H44" s="77">
        <f>G44*1.0085</f>
        <v>0</v>
      </c>
      <c r="I44" s="77">
        <f aca="true" t="shared" si="26" ref="I44:I54">H44*1.0068</f>
        <v>0</v>
      </c>
      <c r="J44" s="77">
        <f>I44*1.0076</f>
        <v>0</v>
      </c>
      <c r="K44" s="77">
        <f aca="true" t="shared" si="27" ref="K44:K54">J44*1.007</f>
        <v>0</v>
      </c>
      <c r="L44" s="77">
        <f aca="true" t="shared" si="28" ref="L44:L54">K44*1.0076</f>
        <v>0</v>
      </c>
      <c r="M44" s="77">
        <f>L44*1.008</f>
        <v>0</v>
      </c>
      <c r="N44" s="77">
        <f>M44*1.008</f>
        <v>0</v>
      </c>
      <c r="O44" s="77">
        <f aca="true" t="shared" si="29" ref="O44:O54">N44*1.0075</f>
        <v>0</v>
      </c>
    </row>
    <row r="45" spans="1:15" s="50" customFormat="1" ht="37.5">
      <c r="A45" s="62" t="s">
        <v>53</v>
      </c>
      <c r="B45" s="53">
        <v>41.5</v>
      </c>
      <c r="C45" s="60">
        <f t="shared" si="24"/>
        <v>40.089</v>
      </c>
      <c r="D45" s="60">
        <f t="shared" si="25"/>
        <v>40.28944499999999</v>
      </c>
      <c r="E45" s="77">
        <v>0</v>
      </c>
      <c r="F45" s="77">
        <v>0</v>
      </c>
      <c r="G45" s="77">
        <v>0</v>
      </c>
      <c r="H45" s="77">
        <v>0</v>
      </c>
      <c r="I45" s="77">
        <f t="shared" si="26"/>
        <v>0</v>
      </c>
      <c r="J45" s="77">
        <f>I45*1.0076</f>
        <v>0</v>
      </c>
      <c r="K45" s="77">
        <f t="shared" si="27"/>
        <v>0</v>
      </c>
      <c r="L45" s="77">
        <f t="shared" si="28"/>
        <v>0</v>
      </c>
      <c r="M45" s="77">
        <f>L45*1.008</f>
        <v>0</v>
      </c>
      <c r="N45" s="77">
        <f>M45*1.008</f>
        <v>0</v>
      </c>
      <c r="O45" s="77">
        <f t="shared" si="29"/>
        <v>0</v>
      </c>
    </row>
    <row r="46" spans="1:15" s="50" customFormat="1" ht="18.75">
      <c r="A46" s="62" t="s">
        <v>54</v>
      </c>
      <c r="B46" s="53">
        <v>3782.5</v>
      </c>
      <c r="C46" s="60">
        <f t="shared" si="24"/>
        <v>3653.895</v>
      </c>
      <c r="D46" s="60">
        <f t="shared" si="25"/>
        <v>3672.1644749999996</v>
      </c>
      <c r="E46" s="77">
        <v>14965.6</v>
      </c>
      <c r="F46" s="77">
        <v>12152.4</v>
      </c>
      <c r="G46" s="77">
        <v>13012.2</v>
      </c>
      <c r="H46" s="77">
        <v>13272.4</v>
      </c>
      <c r="I46" s="77">
        <v>13537.9</v>
      </c>
      <c r="J46" s="77">
        <v>13808.7</v>
      </c>
      <c r="K46" s="77">
        <v>14084.8</v>
      </c>
      <c r="L46" s="77">
        <v>14366.5</v>
      </c>
      <c r="M46" s="77">
        <v>14653.9</v>
      </c>
      <c r="N46" s="77">
        <v>14946.9</v>
      </c>
      <c r="O46" s="77">
        <v>15245.9</v>
      </c>
    </row>
    <row r="47" spans="1:15" s="50" customFormat="1" ht="18.75">
      <c r="A47" s="62" t="s">
        <v>55</v>
      </c>
      <c r="B47" s="53">
        <v>4162.5</v>
      </c>
      <c r="C47" s="60">
        <f t="shared" si="24"/>
        <v>4020.975</v>
      </c>
      <c r="D47" s="60">
        <f t="shared" si="25"/>
        <v>4041.0798749999994</v>
      </c>
      <c r="E47" s="77">
        <v>2444.4</v>
      </c>
      <c r="F47" s="77">
        <v>1200</v>
      </c>
      <c r="G47" s="77">
        <v>1200</v>
      </c>
      <c r="H47" s="77">
        <v>1200</v>
      </c>
      <c r="I47" s="77">
        <v>1200</v>
      </c>
      <c r="J47" s="77">
        <v>1200</v>
      </c>
      <c r="K47" s="77">
        <v>1200</v>
      </c>
      <c r="L47" s="77">
        <v>1200</v>
      </c>
      <c r="M47" s="77">
        <v>1200</v>
      </c>
      <c r="N47" s="77">
        <v>1200</v>
      </c>
      <c r="O47" s="77">
        <v>1200</v>
      </c>
    </row>
    <row r="48" spans="1:15" s="50" customFormat="1" ht="18.75">
      <c r="A48" s="62" t="s">
        <v>56</v>
      </c>
      <c r="B48" s="53">
        <v>0</v>
      </c>
      <c r="C48" s="60">
        <f t="shared" si="24"/>
        <v>0</v>
      </c>
      <c r="D48" s="60">
        <f t="shared" si="25"/>
        <v>0</v>
      </c>
      <c r="E48" s="77">
        <f>D48*1.0085</f>
        <v>0</v>
      </c>
      <c r="F48" s="77">
        <f>E48*1.0085</f>
        <v>0</v>
      </c>
      <c r="G48" s="77">
        <f>F48*1.0085</f>
        <v>0</v>
      </c>
      <c r="H48" s="77">
        <f>G48*1.0085</f>
        <v>0</v>
      </c>
      <c r="I48" s="77">
        <f t="shared" si="26"/>
        <v>0</v>
      </c>
      <c r="J48" s="77">
        <f>I48*1.0076</f>
        <v>0</v>
      </c>
      <c r="K48" s="77">
        <f t="shared" si="27"/>
        <v>0</v>
      </c>
      <c r="L48" s="77">
        <f t="shared" si="28"/>
        <v>0</v>
      </c>
      <c r="M48" s="77">
        <f>L48*1.008</f>
        <v>0</v>
      </c>
      <c r="N48" s="77">
        <f>M48*1.008</f>
        <v>0</v>
      </c>
      <c r="O48" s="77">
        <f t="shared" si="29"/>
        <v>0</v>
      </c>
    </row>
    <row r="49" spans="1:15" s="50" customFormat="1" ht="18.75">
      <c r="A49" s="62" t="s">
        <v>57</v>
      </c>
      <c r="B49" s="53">
        <v>62975.9</v>
      </c>
      <c r="C49" s="60">
        <f t="shared" si="24"/>
        <v>60834.7194</v>
      </c>
      <c r="D49" s="60">
        <f t="shared" si="25"/>
        <v>61138.892996999995</v>
      </c>
      <c r="E49" s="77">
        <v>76533.5</v>
      </c>
      <c r="F49" s="77">
        <v>52203.7</v>
      </c>
      <c r="G49" s="77">
        <f>54948.3-651.5</f>
        <v>54296.8</v>
      </c>
      <c r="H49" s="77">
        <v>54948.3</v>
      </c>
      <c r="I49" s="77">
        <v>56439.9</v>
      </c>
      <c r="J49" s="77">
        <v>58380.5</v>
      </c>
      <c r="K49" s="77">
        <v>60102</v>
      </c>
      <c r="L49" s="77">
        <v>61853.2</v>
      </c>
      <c r="M49" s="77">
        <v>63444.3</v>
      </c>
      <c r="N49" s="77">
        <f>64245.2-1934.6+2983.3</f>
        <v>65293.9</v>
      </c>
      <c r="O49" s="77">
        <v>66519.9</v>
      </c>
    </row>
    <row r="50" spans="1:15" s="50" customFormat="1" ht="18.75">
      <c r="A50" s="62" t="s">
        <v>58</v>
      </c>
      <c r="B50" s="53">
        <v>1300</v>
      </c>
      <c r="C50" s="60">
        <f t="shared" si="24"/>
        <v>1255.8</v>
      </c>
      <c r="D50" s="60">
        <f t="shared" si="25"/>
        <v>1262.0789999999997</v>
      </c>
      <c r="E50" s="77">
        <v>5254.6</v>
      </c>
      <c r="F50" s="77">
        <v>4900</v>
      </c>
      <c r="G50" s="77">
        <v>4900</v>
      </c>
      <c r="H50" s="77">
        <v>5000</v>
      </c>
      <c r="I50" s="77">
        <v>5000</v>
      </c>
      <c r="J50" s="77">
        <v>5000</v>
      </c>
      <c r="K50" s="77">
        <v>5000</v>
      </c>
      <c r="L50" s="77">
        <v>5000</v>
      </c>
      <c r="M50" s="77">
        <v>5000</v>
      </c>
      <c r="N50" s="77">
        <v>5000</v>
      </c>
      <c r="O50" s="77">
        <v>5000</v>
      </c>
    </row>
    <row r="51" spans="1:15" s="50" customFormat="1" ht="18.75">
      <c r="A51" s="62" t="s">
        <v>59</v>
      </c>
      <c r="B51" s="53">
        <v>0</v>
      </c>
      <c r="C51" s="60">
        <f t="shared" si="24"/>
        <v>0</v>
      </c>
      <c r="D51" s="60">
        <f t="shared" si="25"/>
        <v>0</v>
      </c>
      <c r="E51" s="77">
        <f>D51*1.0085</f>
        <v>0</v>
      </c>
      <c r="F51" s="77">
        <f>E51*1.0085</f>
        <v>0</v>
      </c>
      <c r="G51" s="77">
        <f>F51*1.0085</f>
        <v>0</v>
      </c>
      <c r="H51" s="77">
        <f>G51*1.0085</f>
        <v>0</v>
      </c>
      <c r="I51" s="77">
        <f t="shared" si="26"/>
        <v>0</v>
      </c>
      <c r="J51" s="77">
        <f>I51*1.0076</f>
        <v>0</v>
      </c>
      <c r="K51" s="77">
        <f t="shared" si="27"/>
        <v>0</v>
      </c>
      <c r="L51" s="77">
        <f t="shared" si="28"/>
        <v>0</v>
      </c>
      <c r="M51" s="77">
        <f>L51*1.008</f>
        <v>0</v>
      </c>
      <c r="N51" s="77">
        <f>M51*1.008</f>
        <v>0</v>
      </c>
      <c r="O51" s="77">
        <f t="shared" si="29"/>
        <v>0</v>
      </c>
    </row>
    <row r="52" spans="1:15" s="50" customFormat="1" ht="18.75">
      <c r="A52" s="62" t="s">
        <v>60</v>
      </c>
      <c r="B52" s="53">
        <v>3145.6</v>
      </c>
      <c r="C52" s="60">
        <f t="shared" si="24"/>
        <v>3038.6495999999997</v>
      </c>
      <c r="D52" s="60">
        <f t="shared" si="25"/>
        <v>3053.8428479999993</v>
      </c>
      <c r="E52" s="77">
        <v>2119.8</v>
      </c>
      <c r="F52" s="77">
        <v>300</v>
      </c>
      <c r="G52" s="77">
        <v>300</v>
      </c>
      <c r="H52" s="77">
        <v>1800</v>
      </c>
      <c r="I52" s="77">
        <v>1800</v>
      </c>
      <c r="J52" s="77">
        <v>1800</v>
      </c>
      <c r="K52" s="77">
        <v>1800</v>
      </c>
      <c r="L52" s="77">
        <v>1800</v>
      </c>
      <c r="M52" s="77">
        <v>1800</v>
      </c>
      <c r="N52" s="77">
        <v>1800</v>
      </c>
      <c r="O52" s="77">
        <v>1800</v>
      </c>
    </row>
    <row r="53" spans="1:15" s="50" customFormat="1" ht="18.75">
      <c r="A53" s="62" t="s">
        <v>61</v>
      </c>
      <c r="B53" s="53">
        <v>233</v>
      </c>
      <c r="C53" s="60">
        <f t="shared" si="24"/>
        <v>225.078</v>
      </c>
      <c r="D53" s="60">
        <f t="shared" si="25"/>
        <v>226.20338999999998</v>
      </c>
      <c r="E53" s="77">
        <v>305</v>
      </c>
      <c r="F53" s="77">
        <v>0</v>
      </c>
      <c r="G53" s="77">
        <v>0</v>
      </c>
      <c r="H53" s="77">
        <v>0</v>
      </c>
      <c r="I53" s="77">
        <f t="shared" si="26"/>
        <v>0</v>
      </c>
      <c r="J53" s="77">
        <f aca="true" t="shared" si="30" ref="J53:O53">I53*1.0076</f>
        <v>0</v>
      </c>
      <c r="K53" s="77">
        <f t="shared" si="30"/>
        <v>0</v>
      </c>
      <c r="L53" s="77">
        <f t="shared" si="30"/>
        <v>0</v>
      </c>
      <c r="M53" s="77">
        <f t="shared" si="30"/>
        <v>0</v>
      </c>
      <c r="N53" s="77">
        <f t="shared" si="30"/>
        <v>0</v>
      </c>
      <c r="O53" s="77">
        <f t="shared" si="30"/>
        <v>0</v>
      </c>
    </row>
    <row r="54" spans="1:15" s="50" customFormat="1" ht="18.75">
      <c r="A54" s="62" t="s">
        <v>62</v>
      </c>
      <c r="B54" s="53">
        <v>0</v>
      </c>
      <c r="C54" s="60">
        <f t="shared" si="24"/>
        <v>0</v>
      </c>
      <c r="D54" s="60">
        <f t="shared" si="24"/>
        <v>0</v>
      </c>
      <c r="E54" s="77">
        <f>D54*1.0314</f>
        <v>0</v>
      </c>
      <c r="F54" s="77">
        <f>E54*1.0314</f>
        <v>0</v>
      </c>
      <c r="G54" s="77">
        <f>F54*1.0314</f>
        <v>0</v>
      </c>
      <c r="H54" s="77">
        <f>G54*1.0314</f>
        <v>0</v>
      </c>
      <c r="I54" s="77">
        <f t="shared" si="26"/>
        <v>0</v>
      </c>
      <c r="J54" s="77">
        <f>I54*1.0076</f>
        <v>0</v>
      </c>
      <c r="K54" s="77">
        <f t="shared" si="27"/>
        <v>0</v>
      </c>
      <c r="L54" s="77">
        <f t="shared" si="28"/>
        <v>0</v>
      </c>
      <c r="M54" s="77">
        <f>L54*1.008</f>
        <v>0</v>
      </c>
      <c r="N54" s="77">
        <f>M54*1.008</f>
        <v>0</v>
      </c>
      <c r="O54" s="77">
        <f t="shared" si="29"/>
        <v>0</v>
      </c>
    </row>
    <row r="55" spans="1:15" s="50" customFormat="1" ht="37.5">
      <c r="A55" s="62" t="s">
        <v>63</v>
      </c>
      <c r="B55" s="53">
        <v>0</v>
      </c>
      <c r="C55" s="60"/>
      <c r="D55" s="60">
        <f>C55*0.966</f>
        <v>0</v>
      </c>
      <c r="E55" s="74">
        <v>2.2</v>
      </c>
      <c r="F55" s="74">
        <v>1.1</v>
      </c>
      <c r="G55" s="74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1:15" ht="75">
      <c r="A56" s="8" t="s">
        <v>64</v>
      </c>
      <c r="B56" s="3">
        <v>0</v>
      </c>
      <c r="C56" s="3">
        <f>B56-B56*3/100</f>
        <v>0</v>
      </c>
      <c r="D56" s="9">
        <f>C56+C56*0.4/100</f>
        <v>0</v>
      </c>
      <c r="E56" s="3">
        <f>D56+D56*0.2/100</f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8" spans="1:15" ht="131.25">
      <c r="A58" s="1" t="s">
        <v>0</v>
      </c>
      <c r="B58" s="1" t="s">
        <v>1</v>
      </c>
      <c r="C58" s="1" t="s">
        <v>2</v>
      </c>
      <c r="D58" s="1" t="s">
        <v>12</v>
      </c>
      <c r="E58" s="1" t="s">
        <v>16</v>
      </c>
      <c r="F58" s="1" t="s">
        <v>17</v>
      </c>
      <c r="G58" s="1" t="s">
        <v>18</v>
      </c>
      <c r="H58" s="1" t="s">
        <v>19</v>
      </c>
      <c r="I58" s="1" t="s">
        <v>20</v>
      </c>
      <c r="J58" s="1" t="s">
        <v>21</v>
      </c>
      <c r="K58" s="1" t="s">
        <v>22</v>
      </c>
      <c r="L58" s="1" t="s">
        <v>3</v>
      </c>
      <c r="M58" s="1" t="s">
        <v>85</v>
      </c>
      <c r="N58" s="1" t="s">
        <v>83</v>
      </c>
      <c r="O58" s="1" t="s">
        <v>84</v>
      </c>
    </row>
    <row r="59" spans="1:15" ht="18.75">
      <c r="A59" s="6" t="s">
        <v>65</v>
      </c>
      <c r="B59" s="3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>
      <c r="A60" s="8" t="s">
        <v>66</v>
      </c>
      <c r="B60" s="3"/>
      <c r="C60" s="3"/>
      <c r="D60" s="3"/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ht="18.75">
      <c r="A61" s="8" t="s">
        <v>67</v>
      </c>
      <c r="B61" s="3"/>
      <c r="C61" s="3"/>
      <c r="D61" s="3"/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ht="18.75">
      <c r="A62" s="8" t="s">
        <v>68</v>
      </c>
      <c r="B62" s="3"/>
      <c r="C62" s="3"/>
      <c r="D62" s="3"/>
      <c r="E62" s="61">
        <v>-1172.4</v>
      </c>
      <c r="F62" s="80">
        <v>-1172.4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</row>
    <row r="63" spans="1:15" ht="18.75">
      <c r="A63" s="8" t="s">
        <v>69</v>
      </c>
      <c r="B63" s="3"/>
      <c r="C63" s="3"/>
      <c r="D63" s="3"/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</sheetData>
  <sheetProtection/>
  <mergeCells count="1">
    <mergeCell ref="A1:O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1">
      <selection activeCell="E9" sqref="E9:O9"/>
    </sheetView>
  </sheetViews>
  <sheetFormatPr defaultColWidth="9.140625" defaultRowHeight="15"/>
  <cols>
    <col min="1" max="1" width="44.1406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  <c r="M2" s="1" t="s">
        <v>85</v>
      </c>
      <c r="N2" s="1" t="s">
        <v>83</v>
      </c>
      <c r="O2" s="1" t="s">
        <v>84</v>
      </c>
    </row>
    <row r="3" spans="1:15" ht="75">
      <c r="A3" s="2" t="s">
        <v>4</v>
      </c>
      <c r="B3" s="10">
        <v>8635.8</v>
      </c>
      <c r="C3" s="10">
        <v>9054.2</v>
      </c>
      <c r="D3" s="10">
        <v>9320.5</v>
      </c>
      <c r="E3" s="46">
        <f aca="true" t="shared" si="0" ref="E3:O3">E4+E7</f>
        <v>8265.3</v>
      </c>
      <c r="F3" s="46">
        <f t="shared" si="0"/>
        <v>8279.1</v>
      </c>
      <c r="G3" s="46">
        <f t="shared" si="0"/>
        <v>8289.1</v>
      </c>
      <c r="H3" s="46">
        <f t="shared" si="0"/>
        <v>8454.882000000001</v>
      </c>
      <c r="I3" s="46">
        <f t="shared" si="0"/>
        <v>8623.979640000001</v>
      </c>
      <c r="J3" s="46">
        <f t="shared" si="0"/>
        <v>8796.459232800002</v>
      </c>
      <c r="K3" s="46">
        <f t="shared" si="0"/>
        <v>8972.388417456</v>
      </c>
      <c r="L3" s="46">
        <f t="shared" si="0"/>
        <v>9151.836185805121</v>
      </c>
      <c r="M3" s="46">
        <f t="shared" si="0"/>
        <v>9334.872909521224</v>
      </c>
      <c r="N3" s="46">
        <f t="shared" si="0"/>
        <v>9521.570367711649</v>
      </c>
      <c r="O3" s="46">
        <f t="shared" si="0"/>
        <v>9712.001775065883</v>
      </c>
    </row>
    <row r="4" spans="1:15" ht="18.75">
      <c r="A4" s="3" t="s">
        <v>5</v>
      </c>
      <c r="B4" s="10">
        <v>2750</v>
      </c>
      <c r="C4" s="10">
        <v>2890</v>
      </c>
      <c r="D4" s="10">
        <v>2972.7</v>
      </c>
      <c r="E4" s="46">
        <f aca="true" t="shared" si="1" ref="E4:O4">E5+E6</f>
        <v>1072</v>
      </c>
      <c r="F4" s="46">
        <f t="shared" si="1"/>
        <v>1082</v>
      </c>
      <c r="G4" s="46">
        <f t="shared" si="1"/>
        <v>1092</v>
      </c>
      <c r="H4" s="46">
        <f t="shared" si="1"/>
        <v>1113.8400000000001</v>
      </c>
      <c r="I4" s="46">
        <f t="shared" si="1"/>
        <v>1136.1168000000002</v>
      </c>
      <c r="J4" s="46">
        <f t="shared" si="1"/>
        <v>1158.839136</v>
      </c>
      <c r="K4" s="46">
        <f t="shared" si="1"/>
        <v>1182.0159187200002</v>
      </c>
      <c r="L4" s="46">
        <f t="shared" si="1"/>
        <v>1205.6562370944005</v>
      </c>
      <c r="M4" s="46">
        <f t="shared" si="1"/>
        <v>1229.7693618362885</v>
      </c>
      <c r="N4" s="46">
        <f t="shared" si="1"/>
        <v>1254.364749073014</v>
      </c>
      <c r="O4" s="46">
        <f t="shared" si="1"/>
        <v>1279.4520440544745</v>
      </c>
    </row>
    <row r="5" spans="1:15" ht="18.75">
      <c r="A5" s="5" t="s">
        <v>6</v>
      </c>
      <c r="B5" s="10">
        <v>2480</v>
      </c>
      <c r="C5" s="10">
        <v>2610</v>
      </c>
      <c r="D5" s="10">
        <v>2685.3</v>
      </c>
      <c r="E5" s="46">
        <f>E15</f>
        <v>940</v>
      </c>
      <c r="F5" s="46">
        <f>F15</f>
        <v>950</v>
      </c>
      <c r="G5" s="46">
        <f>G15</f>
        <v>960</v>
      </c>
      <c r="H5" s="46">
        <f aca="true" t="shared" si="2" ref="H5:O5">H15</f>
        <v>979.2</v>
      </c>
      <c r="I5" s="46">
        <f t="shared" si="2"/>
        <v>998.7840000000001</v>
      </c>
      <c r="J5" s="46">
        <f t="shared" si="2"/>
        <v>1018.7596800000001</v>
      </c>
      <c r="K5" s="46">
        <f t="shared" si="2"/>
        <v>1039.1348736000002</v>
      </c>
      <c r="L5" s="46">
        <f t="shared" si="2"/>
        <v>1059.9175710720003</v>
      </c>
      <c r="M5" s="46">
        <f t="shared" si="2"/>
        <v>1081.1159224934404</v>
      </c>
      <c r="N5" s="46">
        <f t="shared" si="2"/>
        <v>1102.7382409433092</v>
      </c>
      <c r="O5" s="46">
        <f t="shared" si="2"/>
        <v>1124.7930057621754</v>
      </c>
    </row>
    <row r="6" spans="1:15" ht="18.75">
      <c r="A6" s="5" t="s">
        <v>7</v>
      </c>
      <c r="B6" s="10">
        <v>270</v>
      </c>
      <c r="C6" s="10">
        <v>280</v>
      </c>
      <c r="D6" s="10">
        <v>287.4</v>
      </c>
      <c r="E6" s="46">
        <f>E26</f>
        <v>132</v>
      </c>
      <c r="F6" s="46">
        <f>F26</f>
        <v>132</v>
      </c>
      <c r="G6" s="46">
        <f>G26</f>
        <v>132</v>
      </c>
      <c r="H6" s="46">
        <f aca="true" t="shared" si="3" ref="H6:O6">H26</f>
        <v>134.64000000000001</v>
      </c>
      <c r="I6" s="46">
        <f t="shared" si="3"/>
        <v>137.33280000000002</v>
      </c>
      <c r="J6" s="46">
        <f t="shared" si="3"/>
        <v>140.07945600000002</v>
      </c>
      <c r="K6" s="46">
        <f t="shared" si="3"/>
        <v>142.88104512000004</v>
      </c>
      <c r="L6" s="46">
        <f t="shared" si="3"/>
        <v>145.73866602240005</v>
      </c>
      <c r="M6" s="46">
        <f t="shared" si="3"/>
        <v>148.65343934284806</v>
      </c>
      <c r="N6" s="46">
        <f t="shared" si="3"/>
        <v>151.62650812970503</v>
      </c>
      <c r="O6" s="46">
        <f t="shared" si="3"/>
        <v>154.65903829229913</v>
      </c>
    </row>
    <row r="7" spans="1:15" ht="75">
      <c r="A7" s="3" t="s">
        <v>8</v>
      </c>
      <c r="B7" s="10">
        <v>5885.8</v>
      </c>
      <c r="C7" s="10">
        <v>6164.2</v>
      </c>
      <c r="D7" s="10">
        <v>6347.8</v>
      </c>
      <c r="E7" s="46">
        <f>E34</f>
        <v>7193.3</v>
      </c>
      <c r="F7" s="46">
        <f>F34</f>
        <v>7197.1</v>
      </c>
      <c r="G7" s="46">
        <f>G34</f>
        <v>7197.1</v>
      </c>
      <c r="H7" s="46">
        <f aca="true" t="shared" si="4" ref="H7:O7">H34</f>
        <v>7341.042</v>
      </c>
      <c r="I7" s="46">
        <f t="shared" si="4"/>
        <v>7487.862840000001</v>
      </c>
      <c r="J7" s="46">
        <f t="shared" si="4"/>
        <v>7637.620096800001</v>
      </c>
      <c r="K7" s="46">
        <f t="shared" si="4"/>
        <v>7790.372498736001</v>
      </c>
      <c r="L7" s="46">
        <f t="shared" si="4"/>
        <v>7946.179948710721</v>
      </c>
      <c r="M7" s="46">
        <f t="shared" si="4"/>
        <v>8105.103547684936</v>
      </c>
      <c r="N7" s="46">
        <f t="shared" si="4"/>
        <v>8267.205618638634</v>
      </c>
      <c r="O7" s="46">
        <f t="shared" si="4"/>
        <v>8432.549731011408</v>
      </c>
    </row>
    <row r="8" spans="1:15" ht="93.75">
      <c r="A8" s="2" t="s">
        <v>9</v>
      </c>
      <c r="B8" s="10">
        <v>8635.8</v>
      </c>
      <c r="C8" s="10">
        <v>9054.2</v>
      </c>
      <c r="D8" s="10">
        <v>9320.5</v>
      </c>
      <c r="E8" s="46">
        <f>E41</f>
        <v>8265.3</v>
      </c>
      <c r="F8" s="46">
        <f>F41</f>
        <v>8279.1</v>
      </c>
      <c r="G8" s="46">
        <f>G41</f>
        <v>8289.1</v>
      </c>
      <c r="H8" s="46">
        <f>H3</f>
        <v>8454.882000000001</v>
      </c>
      <c r="I8" s="46">
        <f aca="true" t="shared" si="5" ref="I8:O8">I3</f>
        <v>8623.979640000001</v>
      </c>
      <c r="J8" s="46">
        <f t="shared" si="5"/>
        <v>8796.459232800002</v>
      </c>
      <c r="K8" s="46">
        <f t="shared" si="5"/>
        <v>8972.388417456</v>
      </c>
      <c r="L8" s="46">
        <f t="shared" si="5"/>
        <v>9151.836185805121</v>
      </c>
      <c r="M8" s="46">
        <f t="shared" si="5"/>
        <v>9334.872909521224</v>
      </c>
      <c r="N8" s="46">
        <f t="shared" si="5"/>
        <v>9521.570367711649</v>
      </c>
      <c r="O8" s="46">
        <f t="shared" si="5"/>
        <v>9712.001775065883</v>
      </c>
    </row>
    <row r="9" spans="1:15" s="50" customFormat="1" ht="18.75">
      <c r="A9" s="48" t="s">
        <v>10</v>
      </c>
      <c r="B9" s="52">
        <v>0</v>
      </c>
      <c r="C9" s="52">
        <v>0</v>
      </c>
      <c r="D9" s="52">
        <v>0</v>
      </c>
      <c r="E9" s="72">
        <f>E3-E8</f>
        <v>0</v>
      </c>
      <c r="F9" s="72">
        <f aca="true" t="shared" si="6" ref="F9:O9">F3-F8</f>
        <v>0</v>
      </c>
      <c r="G9" s="72">
        <f t="shared" si="6"/>
        <v>0</v>
      </c>
      <c r="H9" s="72">
        <f t="shared" si="6"/>
        <v>0</v>
      </c>
      <c r="I9" s="72">
        <f t="shared" si="6"/>
        <v>0</v>
      </c>
      <c r="J9" s="72">
        <f t="shared" si="6"/>
        <v>0</v>
      </c>
      <c r="K9" s="72">
        <f t="shared" si="6"/>
        <v>0</v>
      </c>
      <c r="L9" s="72">
        <f t="shared" si="6"/>
        <v>0</v>
      </c>
      <c r="M9" s="72">
        <f t="shared" si="6"/>
        <v>0</v>
      </c>
      <c r="N9" s="72">
        <f t="shared" si="6"/>
        <v>0</v>
      </c>
      <c r="O9" s="72">
        <f t="shared" si="6"/>
        <v>0</v>
      </c>
    </row>
    <row r="10" spans="1:15" ht="18.75">
      <c r="A10" s="2" t="s">
        <v>11</v>
      </c>
      <c r="B10" s="10">
        <v>0</v>
      </c>
      <c r="C10" s="10">
        <v>0</v>
      </c>
      <c r="D10" s="10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</row>
    <row r="11" spans="5:7" ht="15">
      <c r="E11" s="47"/>
      <c r="F11" s="47"/>
      <c r="G11" s="47"/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  <c r="M12" s="1" t="s">
        <v>85</v>
      </c>
      <c r="N12" s="1" t="s">
        <v>83</v>
      </c>
      <c r="O12" s="1" t="s">
        <v>84</v>
      </c>
    </row>
    <row r="13" spans="1:15" ht="75">
      <c r="A13" s="6" t="s">
        <v>23</v>
      </c>
      <c r="B13" s="10">
        <v>8635.8</v>
      </c>
      <c r="C13" s="10">
        <v>9054.2</v>
      </c>
      <c r="D13" s="10">
        <v>9320.5</v>
      </c>
      <c r="E13" s="46">
        <f>E14+E34</f>
        <v>8265.3</v>
      </c>
      <c r="F13" s="46">
        <f>F14+F34</f>
        <v>8279.1</v>
      </c>
      <c r="G13" s="46">
        <f>G14+G34</f>
        <v>8289.1</v>
      </c>
      <c r="H13" s="46">
        <f>G13*1.02</f>
        <v>8454.882000000001</v>
      </c>
      <c r="I13" s="46">
        <f aca="true" t="shared" si="7" ref="I13:O13">H13*1.02</f>
        <v>8623.979640000001</v>
      </c>
      <c r="J13" s="46">
        <f t="shared" si="7"/>
        <v>8796.459232800002</v>
      </c>
      <c r="K13" s="46">
        <f t="shared" si="7"/>
        <v>8972.388417456003</v>
      </c>
      <c r="L13" s="46">
        <f t="shared" si="7"/>
        <v>9151.836185805123</v>
      </c>
      <c r="M13" s="46">
        <f t="shared" si="7"/>
        <v>9334.872909521226</v>
      </c>
      <c r="N13" s="46">
        <f t="shared" si="7"/>
        <v>9521.57036771165</v>
      </c>
      <c r="O13" s="46">
        <f t="shared" si="7"/>
        <v>9712.001775065884</v>
      </c>
    </row>
    <row r="14" spans="1:15" ht="37.5">
      <c r="A14" s="6" t="s">
        <v>24</v>
      </c>
      <c r="B14" s="10">
        <v>2750</v>
      </c>
      <c r="C14" s="10">
        <v>2890</v>
      </c>
      <c r="D14" s="10">
        <v>2972.7</v>
      </c>
      <c r="E14" s="46">
        <f>E15+E26</f>
        <v>1072</v>
      </c>
      <c r="F14" s="46">
        <f>F15+F26</f>
        <v>1082</v>
      </c>
      <c r="G14" s="46">
        <f>G15+G26</f>
        <v>1092</v>
      </c>
      <c r="H14" s="46">
        <f aca="true" t="shared" si="8" ref="H14:O38">G14*1.02</f>
        <v>1113.84</v>
      </c>
      <c r="I14" s="46">
        <f t="shared" si="8"/>
        <v>1136.1168</v>
      </c>
      <c r="J14" s="46">
        <f t="shared" si="8"/>
        <v>1158.839136</v>
      </c>
      <c r="K14" s="46">
        <f t="shared" si="8"/>
        <v>1182.0159187200002</v>
      </c>
      <c r="L14" s="46">
        <f t="shared" si="8"/>
        <v>1205.6562370944002</v>
      </c>
      <c r="M14" s="46">
        <f t="shared" si="8"/>
        <v>1229.7693618362882</v>
      </c>
      <c r="N14" s="46">
        <f t="shared" si="8"/>
        <v>1254.364749073014</v>
      </c>
      <c r="O14" s="46">
        <f t="shared" si="8"/>
        <v>1279.4520440544743</v>
      </c>
    </row>
    <row r="15" spans="1:15" ht="19.5">
      <c r="A15" s="7" t="s">
        <v>25</v>
      </c>
      <c r="B15" s="10">
        <v>2480</v>
      </c>
      <c r="C15" s="10">
        <v>2610</v>
      </c>
      <c r="D15" s="10">
        <v>2685.3</v>
      </c>
      <c r="E15" s="46">
        <f>E16+E17+E18+E19+E20+E21+E22+E23+E24</f>
        <v>940</v>
      </c>
      <c r="F15" s="46">
        <f>F16+F17+F18+F19+F20+F21+F22+F23+F24</f>
        <v>950</v>
      </c>
      <c r="G15" s="46">
        <f>G16+G17+G18+G19+G20+G21+G22+G23+G24</f>
        <v>960</v>
      </c>
      <c r="H15" s="46">
        <f t="shared" si="8"/>
        <v>979.2</v>
      </c>
      <c r="I15" s="46">
        <f t="shared" si="8"/>
        <v>998.7840000000001</v>
      </c>
      <c r="J15" s="46">
        <f t="shared" si="8"/>
        <v>1018.7596800000001</v>
      </c>
      <c r="K15" s="46">
        <f t="shared" si="8"/>
        <v>1039.1348736000002</v>
      </c>
      <c r="L15" s="46">
        <f t="shared" si="8"/>
        <v>1059.9175710720003</v>
      </c>
      <c r="M15" s="46">
        <f t="shared" si="8"/>
        <v>1081.1159224934404</v>
      </c>
      <c r="N15" s="46">
        <f t="shared" si="8"/>
        <v>1102.7382409433092</v>
      </c>
      <c r="O15" s="46">
        <f t="shared" si="8"/>
        <v>1124.7930057621754</v>
      </c>
    </row>
    <row r="16" spans="1:15" ht="18.75">
      <c r="A16" s="8" t="s">
        <v>26</v>
      </c>
      <c r="B16" s="10">
        <v>750</v>
      </c>
      <c r="C16" s="10">
        <v>800</v>
      </c>
      <c r="D16" s="10">
        <v>820</v>
      </c>
      <c r="E16" s="46">
        <v>180</v>
      </c>
      <c r="F16" s="46">
        <v>190</v>
      </c>
      <c r="G16" s="46">
        <v>200</v>
      </c>
      <c r="H16" s="46">
        <f t="shared" si="8"/>
        <v>204</v>
      </c>
      <c r="I16" s="46">
        <f t="shared" si="8"/>
        <v>208.08</v>
      </c>
      <c r="J16" s="46">
        <f t="shared" si="8"/>
        <v>212.2416</v>
      </c>
      <c r="K16" s="46">
        <f t="shared" si="8"/>
        <v>216.486432</v>
      </c>
      <c r="L16" s="46">
        <f t="shared" si="8"/>
        <v>220.81616064000002</v>
      </c>
      <c r="M16" s="46">
        <f t="shared" si="8"/>
        <v>225.23248385280002</v>
      </c>
      <c r="N16" s="46">
        <f t="shared" si="8"/>
        <v>229.737133529856</v>
      </c>
      <c r="O16" s="46">
        <f t="shared" si="8"/>
        <v>234.33187620045314</v>
      </c>
    </row>
    <row r="17" spans="1:15" ht="56.25">
      <c r="A17" s="8" t="s">
        <v>27</v>
      </c>
      <c r="B17" s="10">
        <v>1300</v>
      </c>
      <c r="C17" s="10">
        <v>1300</v>
      </c>
      <c r="D17" s="10">
        <v>1340</v>
      </c>
      <c r="E17" s="46">
        <v>0</v>
      </c>
      <c r="F17" s="46">
        <v>0</v>
      </c>
      <c r="G17" s="46">
        <v>0</v>
      </c>
      <c r="H17" s="46">
        <f t="shared" si="8"/>
        <v>0</v>
      </c>
      <c r="I17" s="46">
        <f t="shared" si="8"/>
        <v>0</v>
      </c>
      <c r="J17" s="46">
        <f t="shared" si="8"/>
        <v>0</v>
      </c>
      <c r="K17" s="46">
        <f t="shared" si="8"/>
        <v>0</v>
      </c>
      <c r="L17" s="46">
        <f t="shared" si="8"/>
        <v>0</v>
      </c>
      <c r="M17" s="46">
        <f t="shared" si="8"/>
        <v>0</v>
      </c>
      <c r="N17" s="46">
        <f t="shared" si="8"/>
        <v>0</v>
      </c>
      <c r="O17" s="46">
        <f t="shared" si="8"/>
        <v>0</v>
      </c>
    </row>
    <row r="18" spans="1:15" ht="37.5">
      <c r="A18" s="8" t="s">
        <v>28</v>
      </c>
      <c r="B18" s="11"/>
      <c r="C18" s="11"/>
      <c r="D18" s="3"/>
      <c r="E18" s="9">
        <v>0</v>
      </c>
      <c r="F18" s="46">
        <v>0</v>
      </c>
      <c r="G18" s="46">
        <v>0</v>
      </c>
      <c r="H18" s="46">
        <f t="shared" si="8"/>
        <v>0</v>
      </c>
      <c r="I18" s="46">
        <f t="shared" si="8"/>
        <v>0</v>
      </c>
      <c r="J18" s="46">
        <f t="shared" si="8"/>
        <v>0</v>
      </c>
      <c r="K18" s="46">
        <f t="shared" si="8"/>
        <v>0</v>
      </c>
      <c r="L18" s="46">
        <f t="shared" si="8"/>
        <v>0</v>
      </c>
      <c r="M18" s="46">
        <f t="shared" si="8"/>
        <v>0</v>
      </c>
      <c r="N18" s="46">
        <f t="shared" si="8"/>
        <v>0</v>
      </c>
      <c r="O18" s="46">
        <f t="shared" si="8"/>
        <v>0</v>
      </c>
    </row>
    <row r="19" spans="1:15" ht="37.5">
      <c r="A19" s="8" t="s">
        <v>29</v>
      </c>
      <c r="B19" s="10">
        <v>35</v>
      </c>
      <c r="C19" s="10">
        <v>40</v>
      </c>
      <c r="D19" s="3">
        <v>41.2</v>
      </c>
      <c r="E19" s="9">
        <v>60</v>
      </c>
      <c r="F19" s="46">
        <v>60</v>
      </c>
      <c r="G19" s="46">
        <v>60</v>
      </c>
      <c r="H19" s="46">
        <f t="shared" si="8"/>
        <v>61.2</v>
      </c>
      <c r="I19" s="46">
        <f t="shared" si="8"/>
        <v>62.42400000000001</v>
      </c>
      <c r="J19" s="46">
        <f t="shared" si="8"/>
        <v>63.67248000000001</v>
      </c>
      <c r="K19" s="46">
        <f t="shared" si="8"/>
        <v>64.94592960000001</v>
      </c>
      <c r="L19" s="46">
        <f t="shared" si="8"/>
        <v>66.24484819200002</v>
      </c>
      <c r="M19" s="46">
        <f t="shared" si="8"/>
        <v>67.56974515584002</v>
      </c>
      <c r="N19" s="46">
        <f t="shared" si="8"/>
        <v>68.92114005895682</v>
      </c>
      <c r="O19" s="46">
        <f t="shared" si="8"/>
        <v>70.29956286013596</v>
      </c>
    </row>
    <row r="20" spans="1:15" ht="56.25">
      <c r="A20" s="8" t="s">
        <v>30</v>
      </c>
      <c r="B20" s="11"/>
      <c r="C20" s="11"/>
      <c r="D20" s="3"/>
      <c r="E20" s="9">
        <v>0</v>
      </c>
      <c r="F20" s="46">
        <v>0</v>
      </c>
      <c r="G20" s="46">
        <v>0</v>
      </c>
      <c r="H20" s="46">
        <f t="shared" si="8"/>
        <v>0</v>
      </c>
      <c r="I20" s="46">
        <f t="shared" si="8"/>
        <v>0</v>
      </c>
      <c r="J20" s="46">
        <f t="shared" si="8"/>
        <v>0</v>
      </c>
      <c r="K20" s="46">
        <f t="shared" si="8"/>
        <v>0</v>
      </c>
      <c r="L20" s="46">
        <f t="shared" si="8"/>
        <v>0</v>
      </c>
      <c r="M20" s="46">
        <f t="shared" si="8"/>
        <v>0</v>
      </c>
      <c r="N20" s="46">
        <f t="shared" si="8"/>
        <v>0</v>
      </c>
      <c r="O20" s="46">
        <f t="shared" si="8"/>
        <v>0</v>
      </c>
    </row>
    <row r="21" spans="1:15" ht="37.5">
      <c r="A21" s="8" t="s">
        <v>31</v>
      </c>
      <c r="B21" s="10">
        <v>30</v>
      </c>
      <c r="C21" s="3">
        <v>50</v>
      </c>
      <c r="D21" s="3">
        <v>51.5</v>
      </c>
      <c r="E21" s="9">
        <v>200</v>
      </c>
      <c r="F21" s="46">
        <v>200</v>
      </c>
      <c r="G21" s="46">
        <v>200</v>
      </c>
      <c r="H21" s="46">
        <f t="shared" si="8"/>
        <v>204</v>
      </c>
      <c r="I21" s="46">
        <f t="shared" si="8"/>
        <v>208.08</v>
      </c>
      <c r="J21" s="46">
        <f t="shared" si="8"/>
        <v>212.2416</v>
      </c>
      <c r="K21" s="46">
        <f t="shared" si="8"/>
        <v>216.486432</v>
      </c>
      <c r="L21" s="46">
        <f t="shared" si="8"/>
        <v>220.81616064000002</v>
      </c>
      <c r="M21" s="46">
        <f t="shared" si="8"/>
        <v>225.23248385280002</v>
      </c>
      <c r="N21" s="46">
        <f t="shared" si="8"/>
        <v>229.737133529856</v>
      </c>
      <c r="O21" s="46">
        <f t="shared" si="8"/>
        <v>234.33187620045314</v>
      </c>
    </row>
    <row r="22" spans="1:15" ht="18.75">
      <c r="A22" s="8" t="s">
        <v>32</v>
      </c>
      <c r="B22" s="10">
        <v>350</v>
      </c>
      <c r="C22" s="3">
        <v>400</v>
      </c>
      <c r="D22" s="3">
        <v>412</v>
      </c>
      <c r="E22" s="9">
        <v>500</v>
      </c>
      <c r="F22" s="46">
        <v>500</v>
      </c>
      <c r="G22" s="46">
        <v>500</v>
      </c>
      <c r="H22" s="46">
        <f t="shared" si="8"/>
        <v>510</v>
      </c>
      <c r="I22" s="46">
        <f t="shared" si="8"/>
        <v>520.2</v>
      </c>
      <c r="J22" s="46">
        <f t="shared" si="8"/>
        <v>530.604</v>
      </c>
      <c r="K22" s="46">
        <f t="shared" si="8"/>
        <v>541.21608</v>
      </c>
      <c r="L22" s="46">
        <f t="shared" si="8"/>
        <v>552.0404016</v>
      </c>
      <c r="M22" s="46">
        <f t="shared" si="8"/>
        <v>563.081209632</v>
      </c>
      <c r="N22" s="46">
        <f t="shared" si="8"/>
        <v>574.34283382464</v>
      </c>
      <c r="O22" s="46">
        <f t="shared" si="8"/>
        <v>585.8296905011329</v>
      </c>
    </row>
    <row r="23" spans="1:15" ht="56.25">
      <c r="A23" s="8" t="s">
        <v>33</v>
      </c>
      <c r="B23" s="11"/>
      <c r="C23" s="3"/>
      <c r="D23" s="3"/>
      <c r="E23" s="9">
        <v>0</v>
      </c>
      <c r="F23" s="45">
        <v>0</v>
      </c>
      <c r="G23" s="45">
        <v>0</v>
      </c>
      <c r="H23" s="46">
        <f t="shared" si="8"/>
        <v>0</v>
      </c>
      <c r="I23" s="46">
        <f t="shared" si="8"/>
        <v>0</v>
      </c>
      <c r="J23" s="46">
        <f t="shared" si="8"/>
        <v>0</v>
      </c>
      <c r="K23" s="46">
        <f t="shared" si="8"/>
        <v>0</v>
      </c>
      <c r="L23" s="46">
        <f t="shared" si="8"/>
        <v>0</v>
      </c>
      <c r="M23" s="46">
        <f t="shared" si="8"/>
        <v>0</v>
      </c>
      <c r="N23" s="46">
        <f t="shared" si="8"/>
        <v>0</v>
      </c>
      <c r="O23" s="46">
        <f t="shared" si="8"/>
        <v>0</v>
      </c>
    </row>
    <row r="24" spans="1:15" ht="18.75">
      <c r="A24" s="8" t="s">
        <v>34</v>
      </c>
      <c r="B24" s="3">
        <v>15</v>
      </c>
      <c r="C24" s="3">
        <v>20</v>
      </c>
      <c r="D24" s="3">
        <v>20.6</v>
      </c>
      <c r="E24" s="9">
        <v>0</v>
      </c>
      <c r="F24" s="9">
        <v>0</v>
      </c>
      <c r="G24" s="9">
        <v>0</v>
      </c>
      <c r="H24" s="46">
        <f t="shared" si="8"/>
        <v>0</v>
      </c>
      <c r="I24" s="46">
        <f t="shared" si="8"/>
        <v>0</v>
      </c>
      <c r="J24" s="46">
        <f t="shared" si="8"/>
        <v>0</v>
      </c>
      <c r="K24" s="46">
        <f t="shared" si="8"/>
        <v>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0</v>
      </c>
    </row>
    <row r="25" spans="1:15" ht="56.25">
      <c r="A25" s="8" t="s">
        <v>35</v>
      </c>
      <c r="B25" s="3"/>
      <c r="C25" s="3"/>
      <c r="D25" s="3"/>
      <c r="E25" s="9">
        <v>0</v>
      </c>
      <c r="F25" s="9">
        <v>0</v>
      </c>
      <c r="G25" s="9"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</row>
    <row r="26" spans="1:15" ht="19.5">
      <c r="A26" s="7" t="s">
        <v>36</v>
      </c>
      <c r="B26" s="3">
        <v>270</v>
      </c>
      <c r="C26" s="3">
        <v>280</v>
      </c>
      <c r="D26" s="3">
        <v>287.4</v>
      </c>
      <c r="E26" s="9">
        <f>E27+E28+E29+E30+E31+E32+E33</f>
        <v>132</v>
      </c>
      <c r="F26" s="9">
        <f>F27+F28+F29+F30+F31+F32+F33</f>
        <v>132</v>
      </c>
      <c r="G26" s="9">
        <f>G27+G28+G29+G30+G31+G32+G33</f>
        <v>132</v>
      </c>
      <c r="H26" s="46">
        <f t="shared" si="8"/>
        <v>134.64000000000001</v>
      </c>
      <c r="I26" s="46">
        <f t="shared" si="8"/>
        <v>137.33280000000002</v>
      </c>
      <c r="J26" s="46">
        <f t="shared" si="8"/>
        <v>140.07945600000002</v>
      </c>
      <c r="K26" s="46">
        <f t="shared" si="8"/>
        <v>142.88104512000004</v>
      </c>
      <c r="L26" s="46">
        <f t="shared" si="8"/>
        <v>145.73866602240005</v>
      </c>
      <c r="M26" s="46">
        <f t="shared" si="8"/>
        <v>148.65343934284806</v>
      </c>
      <c r="N26" s="46">
        <f t="shared" si="8"/>
        <v>151.62650812970503</v>
      </c>
      <c r="O26" s="46">
        <f t="shared" si="8"/>
        <v>154.65903829229913</v>
      </c>
    </row>
    <row r="27" spans="1:15" ht="75">
      <c r="A27" s="8" t="s">
        <v>37</v>
      </c>
      <c r="B27" s="3">
        <v>70</v>
      </c>
      <c r="C27" s="3">
        <v>80</v>
      </c>
      <c r="D27" s="3">
        <v>82.4</v>
      </c>
      <c r="E27" s="9">
        <v>120</v>
      </c>
      <c r="F27" s="9">
        <v>120</v>
      </c>
      <c r="G27" s="9">
        <v>120</v>
      </c>
      <c r="H27" s="46">
        <f t="shared" si="8"/>
        <v>122.4</v>
      </c>
      <c r="I27" s="46">
        <f t="shared" si="8"/>
        <v>124.84800000000001</v>
      </c>
      <c r="J27" s="46">
        <f t="shared" si="8"/>
        <v>127.34496000000001</v>
      </c>
      <c r="K27" s="46">
        <f t="shared" si="8"/>
        <v>129.89185920000003</v>
      </c>
      <c r="L27" s="46">
        <f t="shared" si="8"/>
        <v>132.48969638400004</v>
      </c>
      <c r="M27" s="46">
        <f t="shared" si="8"/>
        <v>135.13949031168005</v>
      </c>
      <c r="N27" s="46">
        <f t="shared" si="8"/>
        <v>137.84228011791365</v>
      </c>
      <c r="O27" s="46">
        <f t="shared" si="8"/>
        <v>140.59912572027193</v>
      </c>
    </row>
    <row r="28" spans="1:15" ht="37.5">
      <c r="A28" s="8" t="s">
        <v>38</v>
      </c>
      <c r="B28" s="3"/>
      <c r="C28" s="3"/>
      <c r="D28" s="3"/>
      <c r="E28" s="9">
        <v>0</v>
      </c>
      <c r="F28" s="9">
        <v>0</v>
      </c>
      <c r="G28" s="9">
        <v>0</v>
      </c>
      <c r="H28" s="46">
        <f t="shared" si="8"/>
        <v>0</v>
      </c>
      <c r="I28" s="46">
        <f t="shared" si="8"/>
        <v>0</v>
      </c>
      <c r="J28" s="46">
        <f t="shared" si="8"/>
        <v>0</v>
      </c>
      <c r="K28" s="46">
        <f t="shared" si="8"/>
        <v>0</v>
      </c>
      <c r="L28" s="46">
        <f t="shared" si="8"/>
        <v>0</v>
      </c>
      <c r="M28" s="46">
        <f t="shared" si="8"/>
        <v>0</v>
      </c>
      <c r="N28" s="46">
        <f t="shared" si="8"/>
        <v>0</v>
      </c>
      <c r="O28" s="46">
        <f t="shared" si="8"/>
        <v>0</v>
      </c>
    </row>
    <row r="29" spans="1:15" ht="56.25">
      <c r="A29" s="8" t="s">
        <v>39</v>
      </c>
      <c r="B29" s="3">
        <v>200</v>
      </c>
      <c r="C29" s="3">
        <v>200</v>
      </c>
      <c r="D29" s="3">
        <v>205</v>
      </c>
      <c r="E29" s="9">
        <v>12</v>
      </c>
      <c r="F29" s="9">
        <v>12</v>
      </c>
      <c r="G29" s="9">
        <v>12</v>
      </c>
      <c r="H29" s="46">
        <f t="shared" si="8"/>
        <v>12.24</v>
      </c>
      <c r="I29" s="46">
        <f t="shared" si="8"/>
        <v>12.4848</v>
      </c>
      <c r="J29" s="46">
        <f t="shared" si="8"/>
        <v>12.734496</v>
      </c>
      <c r="K29" s="46">
        <f t="shared" si="8"/>
        <v>12.98918592</v>
      </c>
      <c r="L29" s="46">
        <f t="shared" si="8"/>
        <v>13.2489696384</v>
      </c>
      <c r="M29" s="46">
        <f t="shared" si="8"/>
        <v>13.513949031168</v>
      </c>
      <c r="N29" s="46">
        <f t="shared" si="8"/>
        <v>13.78422801179136</v>
      </c>
      <c r="O29" s="46">
        <f t="shared" si="8"/>
        <v>14.059912572027187</v>
      </c>
    </row>
    <row r="30" spans="1:15" ht="37.5">
      <c r="A30" s="8" t="s">
        <v>40</v>
      </c>
      <c r="B30" s="3"/>
      <c r="C30" s="3"/>
      <c r="D30" s="3"/>
      <c r="E30" s="9">
        <v>0</v>
      </c>
      <c r="F30" s="45">
        <v>0</v>
      </c>
      <c r="G30" s="45"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  <c r="K30" s="46">
        <f t="shared" si="8"/>
        <v>0</v>
      </c>
      <c r="L30" s="46">
        <f t="shared" si="8"/>
        <v>0</v>
      </c>
      <c r="M30" s="46">
        <f t="shared" si="8"/>
        <v>0</v>
      </c>
      <c r="N30" s="46">
        <f t="shared" si="8"/>
        <v>0</v>
      </c>
      <c r="O30" s="46">
        <f t="shared" si="8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5">
        <v>0</v>
      </c>
      <c r="G31" s="45">
        <v>0</v>
      </c>
      <c r="H31" s="46">
        <f t="shared" si="8"/>
        <v>0</v>
      </c>
      <c r="I31" s="46">
        <f t="shared" si="8"/>
        <v>0</v>
      </c>
      <c r="J31" s="46">
        <f t="shared" si="8"/>
        <v>0</v>
      </c>
      <c r="K31" s="46">
        <f t="shared" si="8"/>
        <v>0</v>
      </c>
      <c r="L31" s="46">
        <f t="shared" si="8"/>
        <v>0</v>
      </c>
      <c r="M31" s="46">
        <f t="shared" si="8"/>
        <v>0</v>
      </c>
      <c r="N31" s="46">
        <f t="shared" si="8"/>
        <v>0</v>
      </c>
      <c r="O31" s="46">
        <f t="shared" si="8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5">
        <v>0</v>
      </c>
      <c r="G32" s="45">
        <v>0</v>
      </c>
      <c r="H32" s="46">
        <f t="shared" si="8"/>
        <v>0</v>
      </c>
      <c r="I32" s="46">
        <f t="shared" si="8"/>
        <v>0</v>
      </c>
      <c r="J32" s="46">
        <f t="shared" si="8"/>
        <v>0</v>
      </c>
      <c r="K32" s="46">
        <f t="shared" si="8"/>
        <v>0</v>
      </c>
      <c r="L32" s="46">
        <f t="shared" si="8"/>
        <v>0</v>
      </c>
      <c r="M32" s="46">
        <f t="shared" si="8"/>
        <v>0</v>
      </c>
      <c r="N32" s="46">
        <f t="shared" si="8"/>
        <v>0</v>
      </c>
      <c r="O32" s="46">
        <f t="shared" si="8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5">
        <v>0</v>
      </c>
      <c r="G33" s="45"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</row>
    <row r="34" spans="1:15" ht="75">
      <c r="A34" s="6" t="s">
        <v>44</v>
      </c>
      <c r="B34" s="3">
        <v>5885.8</v>
      </c>
      <c r="C34" s="3">
        <v>6164.2</v>
      </c>
      <c r="D34" s="10">
        <v>6347.8</v>
      </c>
      <c r="E34" s="46">
        <f>E35</f>
        <v>7193.3</v>
      </c>
      <c r="F34" s="46">
        <f>F35</f>
        <v>7197.1</v>
      </c>
      <c r="G34" s="46">
        <f>G35</f>
        <v>7197.1</v>
      </c>
      <c r="H34" s="46">
        <f t="shared" si="8"/>
        <v>7341.042</v>
      </c>
      <c r="I34" s="46">
        <f t="shared" si="8"/>
        <v>7487.862840000001</v>
      </c>
      <c r="J34" s="46">
        <f t="shared" si="8"/>
        <v>7637.620096800001</v>
      </c>
      <c r="K34" s="46">
        <f t="shared" si="8"/>
        <v>7790.372498736001</v>
      </c>
      <c r="L34" s="46">
        <f t="shared" si="8"/>
        <v>7946.179948710721</v>
      </c>
      <c r="M34" s="46">
        <f t="shared" si="8"/>
        <v>8105.103547684936</v>
      </c>
      <c r="N34" s="46">
        <f t="shared" si="8"/>
        <v>8267.205618638634</v>
      </c>
      <c r="O34" s="46">
        <f t="shared" si="8"/>
        <v>8432.549731011408</v>
      </c>
    </row>
    <row r="35" spans="1:15" ht="18.75">
      <c r="A35" s="8" t="s">
        <v>45</v>
      </c>
      <c r="B35" s="3">
        <v>5708</v>
      </c>
      <c r="C35" s="3">
        <v>5982</v>
      </c>
      <c r="D35" s="3">
        <v>6161</v>
      </c>
      <c r="E35" s="9">
        <v>7193.3</v>
      </c>
      <c r="F35" s="46">
        <v>7197.1</v>
      </c>
      <c r="G35" s="46">
        <v>7197.1</v>
      </c>
      <c r="H35" s="46">
        <f t="shared" si="8"/>
        <v>7341.042</v>
      </c>
      <c r="I35" s="46">
        <f t="shared" si="8"/>
        <v>7487.862840000001</v>
      </c>
      <c r="J35" s="46">
        <f t="shared" si="8"/>
        <v>7637.620096800001</v>
      </c>
      <c r="K35" s="46">
        <f t="shared" si="8"/>
        <v>7790.372498736001</v>
      </c>
      <c r="L35" s="46">
        <f t="shared" si="8"/>
        <v>7946.179948710721</v>
      </c>
      <c r="M35" s="46">
        <f t="shared" si="8"/>
        <v>8105.103547684936</v>
      </c>
      <c r="N35" s="46">
        <f t="shared" si="8"/>
        <v>8267.205618638634</v>
      </c>
      <c r="O35" s="46">
        <f t="shared" si="8"/>
        <v>8432.549731011408</v>
      </c>
    </row>
    <row r="36" spans="1:15" ht="56.25">
      <c r="A36" s="8" t="s">
        <v>46</v>
      </c>
      <c r="B36" s="3"/>
      <c r="C36" s="3"/>
      <c r="D36" s="3"/>
      <c r="E36" s="9">
        <v>0</v>
      </c>
      <c r="F36" s="46">
        <v>0</v>
      </c>
      <c r="G36" s="46">
        <v>0</v>
      </c>
      <c r="H36" s="46">
        <f t="shared" si="8"/>
        <v>0</v>
      </c>
      <c r="I36" s="46">
        <f t="shared" si="8"/>
        <v>0</v>
      </c>
      <c r="J36" s="46">
        <f t="shared" si="8"/>
        <v>0</v>
      </c>
      <c r="K36" s="46">
        <f t="shared" si="8"/>
        <v>0</v>
      </c>
      <c r="L36" s="46">
        <f t="shared" si="8"/>
        <v>0</v>
      </c>
      <c r="M36" s="46">
        <f t="shared" si="8"/>
        <v>0</v>
      </c>
      <c r="N36" s="46">
        <f t="shared" si="8"/>
        <v>0</v>
      </c>
      <c r="O36" s="46">
        <f t="shared" si="8"/>
        <v>0</v>
      </c>
    </row>
    <row r="37" spans="1:15" ht="37.5">
      <c r="A37" s="8" t="s">
        <v>47</v>
      </c>
      <c r="B37" s="3"/>
      <c r="C37" s="3"/>
      <c r="D37" s="3"/>
      <c r="E37" s="9">
        <v>0</v>
      </c>
      <c r="F37" s="46">
        <v>0</v>
      </c>
      <c r="G37" s="46">
        <v>0</v>
      </c>
      <c r="H37" s="46">
        <f t="shared" si="8"/>
        <v>0</v>
      </c>
      <c r="I37" s="46">
        <f t="shared" si="8"/>
        <v>0</v>
      </c>
      <c r="J37" s="46">
        <f t="shared" si="8"/>
        <v>0</v>
      </c>
      <c r="K37" s="46">
        <f t="shared" si="8"/>
        <v>0</v>
      </c>
      <c r="L37" s="46">
        <f t="shared" si="8"/>
        <v>0</v>
      </c>
      <c r="M37" s="46">
        <f t="shared" si="8"/>
        <v>0</v>
      </c>
      <c r="N37" s="46">
        <f t="shared" si="8"/>
        <v>0</v>
      </c>
      <c r="O37" s="46">
        <f t="shared" si="8"/>
        <v>0</v>
      </c>
    </row>
    <row r="38" spans="1:15" ht="37.5">
      <c r="A38" s="8" t="s">
        <v>48</v>
      </c>
      <c r="B38" s="3">
        <v>177.8</v>
      </c>
      <c r="C38" s="3">
        <v>182.2</v>
      </c>
      <c r="D38" s="3">
        <v>186.8</v>
      </c>
      <c r="E38" s="9">
        <v>0</v>
      </c>
      <c r="F38" s="46">
        <v>0</v>
      </c>
      <c r="G38" s="46">
        <v>0</v>
      </c>
      <c r="H38" s="46">
        <f t="shared" si="8"/>
        <v>0</v>
      </c>
      <c r="I38" s="46">
        <f t="shared" si="8"/>
        <v>0</v>
      </c>
      <c r="J38" s="46">
        <f t="shared" si="8"/>
        <v>0</v>
      </c>
      <c r="K38" s="46">
        <f t="shared" si="8"/>
        <v>0</v>
      </c>
      <c r="L38" s="46">
        <f t="shared" si="8"/>
        <v>0</v>
      </c>
      <c r="M38" s="46">
        <f t="shared" si="8"/>
        <v>0</v>
      </c>
      <c r="N38" s="46">
        <f t="shared" si="8"/>
        <v>0</v>
      </c>
      <c r="O38" s="46">
        <f t="shared" si="8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  <c r="M40" s="1" t="s">
        <v>85</v>
      </c>
      <c r="N40" s="1" t="s">
        <v>83</v>
      </c>
      <c r="O40" s="1" t="s">
        <v>84</v>
      </c>
    </row>
    <row r="41" spans="1:15" ht="93.75">
      <c r="A41" s="6" t="s">
        <v>49</v>
      </c>
      <c r="B41" s="3">
        <v>8635.8</v>
      </c>
      <c r="C41" s="3">
        <v>9054.2</v>
      </c>
      <c r="D41" s="10">
        <v>9320.5</v>
      </c>
      <c r="E41" s="3">
        <f>SUM(E43:E53)</f>
        <v>8265.3</v>
      </c>
      <c r="F41" s="3">
        <f aca="true" t="shared" si="9" ref="F41:O41">SUM(F43:F53)</f>
        <v>8279.1</v>
      </c>
      <c r="G41" s="3">
        <f t="shared" si="9"/>
        <v>8289.1</v>
      </c>
      <c r="H41" s="3">
        <f t="shared" si="9"/>
        <v>7830.5</v>
      </c>
      <c r="I41" s="3">
        <f t="shared" si="9"/>
        <v>7987.200000000001</v>
      </c>
      <c r="J41" s="3">
        <f t="shared" si="9"/>
        <v>8146.9</v>
      </c>
      <c r="K41" s="3">
        <f t="shared" si="9"/>
        <v>8309.8</v>
      </c>
      <c r="L41" s="3">
        <f t="shared" si="9"/>
        <v>8476</v>
      </c>
      <c r="M41" s="3">
        <f t="shared" si="9"/>
        <v>8645.5</v>
      </c>
      <c r="N41" s="3">
        <f t="shared" si="9"/>
        <v>8818.5</v>
      </c>
      <c r="O41" s="3">
        <f t="shared" si="9"/>
        <v>8994.8</v>
      </c>
    </row>
    <row r="42" spans="1:15" ht="18.75">
      <c r="A42" s="8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.75">
      <c r="A43" s="8" t="s">
        <v>51</v>
      </c>
      <c r="B43" s="3">
        <v>3001.6</v>
      </c>
      <c r="C43" s="3">
        <v>3140</v>
      </c>
      <c r="D43" s="3">
        <v>3234.2</v>
      </c>
      <c r="E43" s="53">
        <v>3900</v>
      </c>
      <c r="F43" s="53">
        <v>3980.4</v>
      </c>
      <c r="G43" s="53">
        <v>4000</v>
      </c>
      <c r="H43" s="3">
        <v>3636</v>
      </c>
      <c r="I43" s="3">
        <f>3810-208.2</f>
        <v>3601.8</v>
      </c>
      <c r="J43" s="3">
        <f>3988-335.8</f>
        <v>3652.2</v>
      </c>
      <c r="K43" s="3">
        <f>4172-500</f>
        <v>3672</v>
      </c>
      <c r="L43" s="3">
        <f>4360-600</f>
        <v>3760</v>
      </c>
      <c r="M43" s="3">
        <f>4572-721.3</f>
        <v>3850.7</v>
      </c>
      <c r="N43" s="3">
        <f>4780-913.5</f>
        <v>3866.5</v>
      </c>
      <c r="O43" s="3">
        <f>5040.6-1145.9</f>
        <v>3894.7000000000003</v>
      </c>
    </row>
    <row r="44" spans="1:15" ht="18.75">
      <c r="A44" s="8" t="s">
        <v>52</v>
      </c>
      <c r="B44" s="3"/>
      <c r="C44" s="3"/>
      <c r="D44" s="3"/>
      <c r="E44" s="53"/>
      <c r="F44" s="53"/>
      <c r="G44" s="53"/>
      <c r="H44" s="3"/>
      <c r="I44" s="3"/>
      <c r="J44" s="3"/>
      <c r="K44" s="3"/>
      <c r="L44" s="3"/>
      <c r="M44" s="3"/>
      <c r="N44" s="3"/>
      <c r="O44" s="3"/>
    </row>
    <row r="45" spans="1:15" ht="37.5">
      <c r="A45" s="8" t="s">
        <v>53</v>
      </c>
      <c r="B45" s="3"/>
      <c r="C45" s="3"/>
      <c r="D45" s="3"/>
      <c r="E45" s="53"/>
      <c r="F45" s="53"/>
      <c r="G45" s="53"/>
      <c r="H45" s="3"/>
      <c r="I45" s="3"/>
      <c r="J45" s="3"/>
      <c r="K45" s="3"/>
      <c r="L45" s="3"/>
      <c r="M45" s="3"/>
      <c r="N45" s="3"/>
      <c r="O45" s="3"/>
    </row>
    <row r="46" spans="1:15" ht="18.75">
      <c r="A46" s="8" t="s">
        <v>54</v>
      </c>
      <c r="B46" s="3">
        <v>2152.2</v>
      </c>
      <c r="C46" s="3">
        <v>2161.3</v>
      </c>
      <c r="D46" s="3">
        <v>2225.7</v>
      </c>
      <c r="E46" s="53"/>
      <c r="F46" s="53"/>
      <c r="G46" s="53"/>
      <c r="H46" s="3"/>
      <c r="I46" s="3"/>
      <c r="J46" s="3"/>
      <c r="K46" s="3"/>
      <c r="L46" s="3"/>
      <c r="M46" s="3"/>
      <c r="N46" s="3"/>
      <c r="O46" s="3"/>
    </row>
    <row r="47" spans="1:15" ht="18.75">
      <c r="A47" s="8" t="s">
        <v>55</v>
      </c>
      <c r="B47" s="3">
        <v>1137</v>
      </c>
      <c r="C47" s="3">
        <v>1256</v>
      </c>
      <c r="D47" s="3">
        <v>1293.6</v>
      </c>
      <c r="E47" s="53">
        <v>1901.3</v>
      </c>
      <c r="F47" s="53">
        <v>1784.7</v>
      </c>
      <c r="G47" s="53">
        <v>1725.1</v>
      </c>
      <c r="H47" s="3">
        <v>1454</v>
      </c>
      <c r="I47" s="3">
        <v>1524.8</v>
      </c>
      <c r="J47" s="3">
        <v>1595.2</v>
      </c>
      <c r="K47" s="3">
        <v>1678.1</v>
      </c>
      <c r="L47" s="3">
        <v>1657.9</v>
      </c>
      <c r="M47" s="3">
        <v>1744.6</v>
      </c>
      <c r="N47" s="3">
        <v>1843</v>
      </c>
      <c r="O47" s="3">
        <v>1906.4</v>
      </c>
    </row>
    <row r="48" spans="1:15" ht="18.75">
      <c r="A48" s="8" t="s">
        <v>56</v>
      </c>
      <c r="B48" s="3"/>
      <c r="C48" s="3"/>
      <c r="D48" s="3"/>
      <c r="E48" s="53"/>
      <c r="F48" s="53"/>
      <c r="G48" s="53"/>
      <c r="H48" s="3"/>
      <c r="I48" s="3"/>
      <c r="J48" s="3"/>
      <c r="K48" s="3"/>
      <c r="L48" s="3"/>
      <c r="M48" s="3"/>
      <c r="N48" s="3"/>
      <c r="O48" s="3"/>
    </row>
    <row r="49" spans="1:15" ht="18.75">
      <c r="A49" s="8" t="s">
        <v>57</v>
      </c>
      <c r="B49" s="3"/>
      <c r="C49" s="3"/>
      <c r="D49" s="3"/>
      <c r="E49" s="53">
        <v>10</v>
      </c>
      <c r="F49" s="53">
        <v>10</v>
      </c>
      <c r="G49" s="53">
        <v>10</v>
      </c>
      <c r="H49" s="3"/>
      <c r="I49" s="3"/>
      <c r="J49" s="3"/>
      <c r="K49" s="3"/>
      <c r="L49" s="3"/>
      <c r="M49" s="3"/>
      <c r="N49" s="3"/>
      <c r="O49" s="3"/>
    </row>
    <row r="50" spans="1:15" ht="21.75" customHeight="1">
      <c r="A50" s="8" t="s">
        <v>58</v>
      </c>
      <c r="B50" s="3">
        <v>2263</v>
      </c>
      <c r="C50" s="3">
        <v>2378.9</v>
      </c>
      <c r="D50" s="3">
        <v>2449</v>
      </c>
      <c r="E50" s="53">
        <v>2300</v>
      </c>
      <c r="F50" s="53">
        <v>2350</v>
      </c>
      <c r="G50" s="53">
        <v>2400</v>
      </c>
      <c r="H50" s="3">
        <f>2768.4-181.9</f>
        <v>2586.5</v>
      </c>
      <c r="I50" s="3">
        <f>2906.6-200</f>
        <v>2706.6</v>
      </c>
      <c r="J50" s="3">
        <v>2740.8</v>
      </c>
      <c r="K50" s="3">
        <f>3181.1-380.4</f>
        <v>2800.7</v>
      </c>
      <c r="L50" s="3">
        <f>3324-424.9</f>
        <v>2899.1</v>
      </c>
      <c r="M50" s="3">
        <f>3486.2-600</f>
        <v>2886.2</v>
      </c>
      <c r="N50" s="3">
        <f>3645-700</f>
        <v>2945</v>
      </c>
      <c r="O50" s="3">
        <v>3024.7</v>
      </c>
    </row>
    <row r="51" spans="1:15" ht="18.75">
      <c r="A51" s="8" t="s">
        <v>59</v>
      </c>
      <c r="B51" s="3"/>
      <c r="C51" s="3"/>
      <c r="D51" s="3"/>
      <c r="E51" s="53"/>
      <c r="F51" s="53"/>
      <c r="G51" s="53"/>
      <c r="H51" s="3"/>
      <c r="I51" s="3"/>
      <c r="J51" s="3"/>
      <c r="K51" s="3"/>
      <c r="L51" s="3"/>
      <c r="M51" s="3"/>
      <c r="N51" s="3"/>
      <c r="O51" s="3"/>
    </row>
    <row r="52" spans="1:15" ht="18.75">
      <c r="A52" s="8" t="s">
        <v>60</v>
      </c>
      <c r="B52" s="3">
        <v>72</v>
      </c>
      <c r="C52" s="3">
        <v>108</v>
      </c>
      <c r="D52" s="3">
        <v>108</v>
      </c>
      <c r="E52" s="53">
        <v>144</v>
      </c>
      <c r="F52" s="53">
        <v>144</v>
      </c>
      <c r="G52" s="53">
        <v>144</v>
      </c>
      <c r="H52" s="3">
        <v>144</v>
      </c>
      <c r="I52" s="3">
        <v>144</v>
      </c>
      <c r="J52" s="3">
        <v>144</v>
      </c>
      <c r="K52" s="3">
        <v>144</v>
      </c>
      <c r="L52" s="3">
        <v>144</v>
      </c>
      <c r="M52" s="3">
        <v>144</v>
      </c>
      <c r="N52" s="3">
        <v>144</v>
      </c>
      <c r="O52" s="3">
        <v>144</v>
      </c>
    </row>
    <row r="53" spans="1:15" ht="18.75">
      <c r="A53" s="8" t="s">
        <v>61</v>
      </c>
      <c r="B53" s="3">
        <v>10</v>
      </c>
      <c r="C53" s="3">
        <v>10</v>
      </c>
      <c r="D53" s="3">
        <v>10</v>
      </c>
      <c r="E53" s="53">
        <v>10</v>
      </c>
      <c r="F53" s="53">
        <v>10</v>
      </c>
      <c r="G53" s="53">
        <v>10</v>
      </c>
      <c r="H53" s="3">
        <v>10</v>
      </c>
      <c r="I53" s="3">
        <v>10</v>
      </c>
      <c r="J53" s="3">
        <v>14.7</v>
      </c>
      <c r="K53" s="3">
        <v>15</v>
      </c>
      <c r="L53" s="3">
        <v>15</v>
      </c>
      <c r="M53" s="3">
        <v>20</v>
      </c>
      <c r="N53" s="3">
        <v>20</v>
      </c>
      <c r="O53" s="3">
        <v>25</v>
      </c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</row>
  </sheetData>
  <sheetProtection/>
  <mergeCells count="1">
    <mergeCell ref="A1:O1"/>
  </mergeCells>
  <printOptions/>
  <pageMargins left="0.16" right="0.17" top="0.3" bottom="0.22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="84" zoomScaleNormal="84" zoomScalePageLayoutView="0" workbookViewId="0" topLeftCell="A1">
      <selection activeCell="U11" sqref="U11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6.2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  <c r="M2" s="1" t="s">
        <v>85</v>
      </c>
      <c r="N2" s="1" t="s">
        <v>83</v>
      </c>
      <c r="O2" s="1" t="s">
        <v>84</v>
      </c>
    </row>
    <row r="3" spans="1:15" ht="64.5" customHeight="1">
      <c r="A3" s="2" t="s">
        <v>4</v>
      </c>
      <c r="B3" s="3">
        <v>5514.4</v>
      </c>
      <c r="C3" s="3">
        <v>5576.5</v>
      </c>
      <c r="D3" s="3">
        <v>5588.1</v>
      </c>
      <c r="E3" s="13">
        <f>E4+E7</f>
        <v>4211</v>
      </c>
      <c r="F3" s="13">
        <f aca="true" t="shared" si="0" ref="F3:O3">F4+F7</f>
        <v>3226</v>
      </c>
      <c r="G3" s="13">
        <f t="shared" si="0"/>
        <v>3232</v>
      </c>
      <c r="H3" s="13">
        <f t="shared" si="0"/>
        <v>3296.6400000000003</v>
      </c>
      <c r="I3" s="13">
        <f t="shared" si="0"/>
        <v>3362.5728000000004</v>
      </c>
      <c r="J3" s="13">
        <f t="shared" si="0"/>
        <v>3429.8242560000003</v>
      </c>
      <c r="K3" s="13">
        <f t="shared" si="0"/>
        <v>3498.4207411200005</v>
      </c>
      <c r="L3" s="13">
        <f t="shared" si="0"/>
        <v>3568.3891559424005</v>
      </c>
      <c r="M3" s="13">
        <f t="shared" si="0"/>
        <v>3639.756939061249</v>
      </c>
      <c r="N3" s="13">
        <f t="shared" si="0"/>
        <v>3712.5520778424734</v>
      </c>
      <c r="O3" s="13">
        <f t="shared" si="0"/>
        <v>3786.8031193993234</v>
      </c>
    </row>
    <row r="4" spans="1:15" ht="18.75">
      <c r="A4" s="3" t="s">
        <v>5</v>
      </c>
      <c r="B4" s="3">
        <v>1553.1</v>
      </c>
      <c r="C4" s="3">
        <v>1590.6</v>
      </c>
      <c r="D4" s="3">
        <v>1589.2</v>
      </c>
      <c r="E4" s="13">
        <f>E5+E6</f>
        <v>705.6</v>
      </c>
      <c r="F4" s="13">
        <f aca="true" t="shared" si="1" ref="F4:O4">F5+F6</f>
        <v>686.7</v>
      </c>
      <c r="G4" s="13">
        <f t="shared" si="1"/>
        <v>692.7</v>
      </c>
      <c r="H4" s="13">
        <f t="shared" si="1"/>
        <v>706.5540000000001</v>
      </c>
      <c r="I4" s="13">
        <f t="shared" si="1"/>
        <v>720.6850800000001</v>
      </c>
      <c r="J4" s="13">
        <f t="shared" si="1"/>
        <v>735.0987816000002</v>
      </c>
      <c r="K4" s="13">
        <f t="shared" si="1"/>
        <v>749.800757232</v>
      </c>
      <c r="L4" s="13">
        <f t="shared" si="1"/>
        <v>764.7967723766401</v>
      </c>
      <c r="M4" s="13">
        <f t="shared" si="1"/>
        <v>780.0927078241729</v>
      </c>
      <c r="N4" s="13">
        <f t="shared" si="1"/>
        <v>795.6945619806563</v>
      </c>
      <c r="O4" s="13">
        <f t="shared" si="1"/>
        <v>811.6084532202693</v>
      </c>
    </row>
    <row r="5" spans="1:15" ht="18.75">
      <c r="A5" s="5" t="s">
        <v>6</v>
      </c>
      <c r="B5" s="3">
        <v>1268.3</v>
      </c>
      <c r="C5" s="3">
        <v>1301</v>
      </c>
      <c r="D5" s="3">
        <v>1334.3</v>
      </c>
      <c r="E5" s="13">
        <f>E15</f>
        <v>515.6</v>
      </c>
      <c r="F5" s="13">
        <f aca="true" t="shared" si="2" ref="F5:O5">F15</f>
        <v>496.7</v>
      </c>
      <c r="G5" s="13">
        <f t="shared" si="2"/>
        <v>502.7</v>
      </c>
      <c r="H5" s="13">
        <f>H15</f>
        <v>512.754</v>
      </c>
      <c r="I5" s="13">
        <f t="shared" si="2"/>
        <v>523.00908</v>
      </c>
      <c r="J5" s="13">
        <f t="shared" si="2"/>
        <v>533.4692616000001</v>
      </c>
      <c r="K5" s="13">
        <f t="shared" si="2"/>
        <v>544.1386468320001</v>
      </c>
      <c r="L5" s="13">
        <f t="shared" si="2"/>
        <v>555.02141976864</v>
      </c>
      <c r="M5" s="13">
        <f t="shared" si="2"/>
        <v>566.1218481640128</v>
      </c>
      <c r="N5" s="13">
        <f t="shared" si="2"/>
        <v>577.444285127293</v>
      </c>
      <c r="O5" s="13">
        <f t="shared" si="2"/>
        <v>588.9931708298388</v>
      </c>
    </row>
    <row r="6" spans="1:15" ht="18.75">
      <c r="A6" s="5" t="s">
        <v>7</v>
      </c>
      <c r="B6" s="3">
        <v>284.8</v>
      </c>
      <c r="C6" s="3">
        <v>289.6</v>
      </c>
      <c r="D6" s="3">
        <v>254.9</v>
      </c>
      <c r="E6" s="13">
        <f>E26</f>
        <v>190</v>
      </c>
      <c r="F6" s="13">
        <f aca="true" t="shared" si="3" ref="F6:O6">F26</f>
        <v>190</v>
      </c>
      <c r="G6" s="13">
        <f t="shared" si="3"/>
        <v>190</v>
      </c>
      <c r="H6" s="13">
        <f t="shared" si="3"/>
        <v>193.8</v>
      </c>
      <c r="I6" s="13">
        <f t="shared" si="3"/>
        <v>197.67600000000002</v>
      </c>
      <c r="J6" s="13">
        <f t="shared" si="3"/>
        <v>201.62952</v>
      </c>
      <c r="K6" s="13">
        <f t="shared" si="3"/>
        <v>205.66211040000002</v>
      </c>
      <c r="L6" s="13">
        <f t="shared" si="3"/>
        <v>209.77535260800002</v>
      </c>
      <c r="M6" s="13">
        <f t="shared" si="3"/>
        <v>213.97085966016002</v>
      </c>
      <c r="N6" s="13">
        <f t="shared" si="3"/>
        <v>218.25027685336323</v>
      </c>
      <c r="O6" s="13">
        <f t="shared" si="3"/>
        <v>222.6152823904305</v>
      </c>
    </row>
    <row r="7" spans="1:15" ht="75">
      <c r="A7" s="3" t="s">
        <v>8</v>
      </c>
      <c r="B7" s="3">
        <v>3961.3</v>
      </c>
      <c r="C7" s="3">
        <v>3985.9</v>
      </c>
      <c r="D7" s="3">
        <v>3998.9</v>
      </c>
      <c r="E7" s="13">
        <f>E34</f>
        <v>3505.4</v>
      </c>
      <c r="F7" s="13">
        <f aca="true" t="shared" si="4" ref="F7:O7">F34</f>
        <v>2539.3</v>
      </c>
      <c r="G7" s="13">
        <f t="shared" si="4"/>
        <v>2539.3</v>
      </c>
      <c r="H7" s="13">
        <f t="shared" si="4"/>
        <v>2590.0860000000002</v>
      </c>
      <c r="I7" s="13">
        <f t="shared" si="4"/>
        <v>2641.88772</v>
      </c>
      <c r="J7" s="13">
        <f t="shared" si="4"/>
        <v>2694.7254744</v>
      </c>
      <c r="K7" s="13">
        <f t="shared" si="4"/>
        <v>2748.619983888</v>
      </c>
      <c r="L7" s="13">
        <f t="shared" si="4"/>
        <v>2803.5923835657604</v>
      </c>
      <c r="M7" s="13">
        <f t="shared" si="4"/>
        <v>2859.664231237076</v>
      </c>
      <c r="N7" s="13">
        <f t="shared" si="4"/>
        <v>2916.8575158618173</v>
      </c>
      <c r="O7" s="13">
        <f t="shared" si="4"/>
        <v>2975.194666179054</v>
      </c>
    </row>
    <row r="8" spans="1:15" ht="79.5" customHeight="1">
      <c r="A8" s="2" t="s">
        <v>9</v>
      </c>
      <c r="B8" s="3">
        <v>5514.4</v>
      </c>
      <c r="C8" s="3">
        <v>5576.5</v>
      </c>
      <c r="D8" s="3">
        <v>5588.1</v>
      </c>
      <c r="E8" s="14">
        <f>E41</f>
        <v>4211</v>
      </c>
      <c r="F8" s="14">
        <f>F41</f>
        <v>3226</v>
      </c>
      <c r="G8" s="14">
        <f>G41</f>
        <v>3232</v>
      </c>
      <c r="H8" s="13">
        <f>H3</f>
        <v>3296.6400000000003</v>
      </c>
      <c r="I8" s="13">
        <f aca="true" t="shared" si="5" ref="I8:O8">I3</f>
        <v>3362.5728000000004</v>
      </c>
      <c r="J8" s="13">
        <f t="shared" si="5"/>
        <v>3429.8242560000003</v>
      </c>
      <c r="K8" s="13">
        <f t="shared" si="5"/>
        <v>3498.4207411200005</v>
      </c>
      <c r="L8" s="13">
        <f t="shared" si="5"/>
        <v>3568.3891559424005</v>
      </c>
      <c r="M8" s="13">
        <f t="shared" si="5"/>
        <v>3639.756939061249</v>
      </c>
      <c r="N8" s="13">
        <f t="shared" si="5"/>
        <v>3712.5520778424734</v>
      </c>
      <c r="O8" s="13">
        <f t="shared" si="5"/>
        <v>3786.8031193993234</v>
      </c>
    </row>
    <row r="9" spans="1:15" s="50" customFormat="1" ht="18.75">
      <c r="A9" s="48" t="s">
        <v>10</v>
      </c>
      <c r="B9" s="53">
        <v>0</v>
      </c>
      <c r="C9" s="53">
        <v>0</v>
      </c>
      <c r="D9" s="53"/>
      <c r="E9" s="49">
        <f>E3-E8</f>
        <v>0</v>
      </c>
      <c r="F9" s="49">
        <f aca="true" t="shared" si="6" ref="F9:O9">F3-F8</f>
        <v>0</v>
      </c>
      <c r="G9" s="49">
        <f t="shared" si="6"/>
        <v>0</v>
      </c>
      <c r="H9" s="49">
        <f t="shared" si="6"/>
        <v>0</v>
      </c>
      <c r="I9" s="49">
        <f t="shared" si="6"/>
        <v>0</v>
      </c>
      <c r="J9" s="49">
        <f t="shared" si="6"/>
        <v>0</v>
      </c>
      <c r="K9" s="49">
        <f t="shared" si="6"/>
        <v>0</v>
      </c>
      <c r="L9" s="49">
        <f t="shared" si="6"/>
        <v>0</v>
      </c>
      <c r="M9" s="49">
        <f t="shared" si="6"/>
        <v>0</v>
      </c>
      <c r="N9" s="49">
        <f t="shared" si="6"/>
        <v>0</v>
      </c>
      <c r="O9" s="49">
        <f t="shared" si="6"/>
        <v>0</v>
      </c>
    </row>
    <row r="10" spans="1:15" ht="18.75">
      <c r="A10" s="2" t="s">
        <v>11</v>
      </c>
      <c r="B10" s="3">
        <v>0</v>
      </c>
      <c r="C10" s="3">
        <v>0</v>
      </c>
      <c r="D10" s="3"/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  <c r="M12" s="1" t="s">
        <v>85</v>
      </c>
      <c r="N12" s="1" t="s">
        <v>83</v>
      </c>
      <c r="O12" s="1" t="s">
        <v>84</v>
      </c>
    </row>
    <row r="13" spans="1:15" ht="75">
      <c r="A13" s="6" t="s">
        <v>23</v>
      </c>
      <c r="B13" s="3">
        <v>5514.4</v>
      </c>
      <c r="C13" s="3">
        <v>5576.5</v>
      </c>
      <c r="D13" s="3">
        <v>5588.1</v>
      </c>
      <c r="E13" s="9">
        <f>E14+E34</f>
        <v>4211</v>
      </c>
      <c r="F13" s="9">
        <f>F14+F34</f>
        <v>3226</v>
      </c>
      <c r="G13" s="9">
        <f>G14+G34</f>
        <v>3232</v>
      </c>
      <c r="H13" s="9">
        <f>G13*1.02</f>
        <v>3296.64</v>
      </c>
      <c r="I13" s="9">
        <f aca="true" t="shared" si="7" ref="I13:O13">H13*1.02</f>
        <v>3362.5728</v>
      </c>
      <c r="J13" s="9">
        <f t="shared" si="7"/>
        <v>3429.824256</v>
      </c>
      <c r="K13" s="9">
        <f t="shared" si="7"/>
        <v>3498.42074112</v>
      </c>
      <c r="L13" s="9">
        <f t="shared" si="7"/>
        <v>3568.3891559424</v>
      </c>
      <c r="M13" s="9">
        <f t="shared" si="7"/>
        <v>3639.756939061248</v>
      </c>
      <c r="N13" s="9">
        <f t="shared" si="7"/>
        <v>3712.552077842473</v>
      </c>
      <c r="O13" s="9">
        <f t="shared" si="7"/>
        <v>3786.8031193993224</v>
      </c>
    </row>
    <row r="14" spans="1:15" ht="37.5">
      <c r="A14" s="6" t="s">
        <v>24</v>
      </c>
      <c r="B14" s="3">
        <v>1553.1</v>
      </c>
      <c r="C14" s="3">
        <v>1590.6</v>
      </c>
      <c r="D14" s="3">
        <v>1589.2</v>
      </c>
      <c r="E14" s="9">
        <f>E15+E26</f>
        <v>705.6</v>
      </c>
      <c r="F14" s="9">
        <f>F15+F26</f>
        <v>686.7</v>
      </c>
      <c r="G14" s="9">
        <f>G15+G26</f>
        <v>692.7</v>
      </c>
      <c r="H14" s="9">
        <f aca="true" t="shared" si="8" ref="H14:O14">G14*1.02</f>
        <v>706.5540000000001</v>
      </c>
      <c r="I14" s="9">
        <f t="shared" si="8"/>
        <v>720.6850800000001</v>
      </c>
      <c r="J14" s="9">
        <f t="shared" si="8"/>
        <v>735.0987816</v>
      </c>
      <c r="K14" s="9">
        <f t="shared" si="8"/>
        <v>749.800757232</v>
      </c>
      <c r="L14" s="9">
        <f t="shared" si="8"/>
        <v>764.7967723766401</v>
      </c>
      <c r="M14" s="9">
        <f t="shared" si="8"/>
        <v>780.0927078241729</v>
      </c>
      <c r="N14" s="9">
        <f t="shared" si="8"/>
        <v>795.6945619806563</v>
      </c>
      <c r="O14" s="9">
        <f t="shared" si="8"/>
        <v>811.6084532202694</v>
      </c>
    </row>
    <row r="15" spans="1:15" ht="19.5">
      <c r="A15" s="7" t="s">
        <v>25</v>
      </c>
      <c r="B15" s="3">
        <v>1268.3</v>
      </c>
      <c r="C15" s="3">
        <v>1301</v>
      </c>
      <c r="D15" s="3">
        <v>1334.3</v>
      </c>
      <c r="E15" s="9">
        <f>E16+E17+E19+E21+E22</f>
        <v>515.6</v>
      </c>
      <c r="F15" s="9">
        <f>F16+F17+F19+F21+F22</f>
        <v>496.7</v>
      </c>
      <c r="G15" s="9">
        <f>G16+G17+G19+G21+G22</f>
        <v>502.7</v>
      </c>
      <c r="H15" s="9">
        <f aca="true" t="shared" si="9" ref="H15:O15">G15*1.02</f>
        <v>512.754</v>
      </c>
      <c r="I15" s="9">
        <f t="shared" si="9"/>
        <v>523.00908</v>
      </c>
      <c r="J15" s="9">
        <f t="shared" si="9"/>
        <v>533.4692616000001</v>
      </c>
      <c r="K15" s="9">
        <f t="shared" si="9"/>
        <v>544.1386468320001</v>
      </c>
      <c r="L15" s="9">
        <f t="shared" si="9"/>
        <v>555.02141976864</v>
      </c>
      <c r="M15" s="9">
        <f t="shared" si="9"/>
        <v>566.1218481640128</v>
      </c>
      <c r="N15" s="9">
        <f t="shared" si="9"/>
        <v>577.444285127293</v>
      </c>
      <c r="O15" s="9">
        <f t="shared" si="9"/>
        <v>588.9931708298388</v>
      </c>
    </row>
    <row r="16" spans="1:15" ht="18.75">
      <c r="A16" s="8" t="s">
        <v>26</v>
      </c>
      <c r="B16" s="3">
        <v>400</v>
      </c>
      <c r="C16" s="3">
        <v>410</v>
      </c>
      <c r="D16" s="3">
        <v>420</v>
      </c>
      <c r="E16" s="9">
        <v>85</v>
      </c>
      <c r="F16" s="9">
        <v>60</v>
      </c>
      <c r="G16" s="9">
        <v>60</v>
      </c>
      <c r="H16" s="9">
        <f aca="true" t="shared" si="10" ref="H16:O16">G16*1.02</f>
        <v>61.2</v>
      </c>
      <c r="I16" s="9">
        <f t="shared" si="10"/>
        <v>62.42400000000001</v>
      </c>
      <c r="J16" s="9">
        <f t="shared" si="10"/>
        <v>63.67248000000001</v>
      </c>
      <c r="K16" s="9">
        <f t="shared" si="10"/>
        <v>64.94592960000001</v>
      </c>
      <c r="L16" s="9">
        <f t="shared" si="10"/>
        <v>66.24484819200002</v>
      </c>
      <c r="M16" s="9">
        <f t="shared" si="10"/>
        <v>67.56974515584002</v>
      </c>
      <c r="N16" s="9">
        <f t="shared" si="10"/>
        <v>68.92114005895682</v>
      </c>
      <c r="O16" s="9">
        <f t="shared" si="10"/>
        <v>70.29956286013596</v>
      </c>
    </row>
    <row r="17" spans="1:15" ht="56.25">
      <c r="A17" s="8" t="s">
        <v>27</v>
      </c>
      <c r="B17" s="3">
        <v>652.3</v>
      </c>
      <c r="C17" s="3">
        <v>671.8</v>
      </c>
      <c r="D17" s="3">
        <v>692</v>
      </c>
      <c r="E17" s="9">
        <v>0</v>
      </c>
      <c r="F17" s="9">
        <v>0</v>
      </c>
      <c r="G17" s="9">
        <v>0</v>
      </c>
      <c r="H17" s="9">
        <f aca="true" t="shared" si="11" ref="H17:O17">G17*1.02</f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</row>
    <row r="18" spans="1:15" ht="37.5">
      <c r="A18" s="8" t="s">
        <v>28</v>
      </c>
      <c r="B18" s="3"/>
      <c r="C18" s="3"/>
      <c r="D18" s="3"/>
      <c r="E18" s="9">
        <v>0</v>
      </c>
      <c r="F18" s="45">
        <v>0</v>
      </c>
      <c r="G18" s="45">
        <v>0</v>
      </c>
      <c r="H18" s="9">
        <f aca="true" t="shared" si="12" ref="H18:O18">G18*1.02</f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</row>
    <row r="19" spans="1:15" ht="37.5">
      <c r="A19" s="8" t="s">
        <v>29</v>
      </c>
      <c r="B19" s="3"/>
      <c r="C19" s="3"/>
      <c r="D19" s="3"/>
      <c r="E19" s="9">
        <v>1.6</v>
      </c>
      <c r="F19" s="59">
        <v>1.7</v>
      </c>
      <c r="G19" s="59">
        <v>1.7</v>
      </c>
      <c r="H19" s="9">
        <f aca="true" t="shared" si="13" ref="H19:O19">G19*1.02</f>
        <v>1.734</v>
      </c>
      <c r="I19" s="9">
        <f t="shared" si="13"/>
        <v>1.76868</v>
      </c>
      <c r="J19" s="9">
        <f t="shared" si="13"/>
        <v>1.8040536</v>
      </c>
      <c r="K19" s="9">
        <f t="shared" si="13"/>
        <v>1.840134672</v>
      </c>
      <c r="L19" s="9">
        <f t="shared" si="13"/>
        <v>1.8769373654400001</v>
      </c>
      <c r="M19" s="9">
        <f t="shared" si="13"/>
        <v>1.9144761127488001</v>
      </c>
      <c r="N19" s="9">
        <f t="shared" si="13"/>
        <v>1.952765635003776</v>
      </c>
      <c r="O19" s="9">
        <f t="shared" si="13"/>
        <v>1.9918209477038515</v>
      </c>
    </row>
    <row r="20" spans="1:15" ht="56.25">
      <c r="A20" s="8" t="s">
        <v>30</v>
      </c>
      <c r="B20" s="3"/>
      <c r="C20" s="3"/>
      <c r="D20" s="3"/>
      <c r="E20" s="9">
        <v>0</v>
      </c>
      <c r="F20" s="45">
        <v>0</v>
      </c>
      <c r="G20" s="45">
        <v>0</v>
      </c>
      <c r="H20" s="9">
        <f aca="true" t="shared" si="14" ref="H20:O20">G20*1.02</f>
        <v>0</v>
      </c>
      <c r="I20" s="9">
        <f t="shared" si="14"/>
        <v>0</v>
      </c>
      <c r="J20" s="9">
        <f t="shared" si="14"/>
        <v>0</v>
      </c>
      <c r="K20" s="9">
        <f t="shared" si="14"/>
        <v>0</v>
      </c>
      <c r="L20" s="9">
        <f t="shared" si="14"/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</row>
    <row r="21" spans="1:15" ht="37.5">
      <c r="A21" s="8" t="s">
        <v>31</v>
      </c>
      <c r="B21" s="3">
        <v>45</v>
      </c>
      <c r="C21" s="3">
        <v>46</v>
      </c>
      <c r="D21" s="3">
        <v>47</v>
      </c>
      <c r="E21" s="9">
        <v>60</v>
      </c>
      <c r="F21" s="9">
        <v>60</v>
      </c>
      <c r="G21" s="9">
        <v>60</v>
      </c>
      <c r="H21" s="9">
        <f aca="true" t="shared" si="15" ref="H21:O21">G21*1.02</f>
        <v>61.2</v>
      </c>
      <c r="I21" s="9">
        <f t="shared" si="15"/>
        <v>62.42400000000001</v>
      </c>
      <c r="J21" s="9">
        <f t="shared" si="15"/>
        <v>63.67248000000001</v>
      </c>
      <c r="K21" s="9">
        <f t="shared" si="15"/>
        <v>64.94592960000001</v>
      </c>
      <c r="L21" s="9">
        <f t="shared" si="15"/>
        <v>66.24484819200002</v>
      </c>
      <c r="M21" s="9">
        <f t="shared" si="15"/>
        <v>67.56974515584002</v>
      </c>
      <c r="N21" s="9">
        <f t="shared" si="15"/>
        <v>68.92114005895682</v>
      </c>
      <c r="O21" s="9">
        <f t="shared" si="15"/>
        <v>70.29956286013596</v>
      </c>
    </row>
    <row r="22" spans="1:15" ht="18.75">
      <c r="A22" s="8" t="s">
        <v>32</v>
      </c>
      <c r="B22" s="3">
        <v>168</v>
      </c>
      <c r="C22" s="3">
        <v>170</v>
      </c>
      <c r="D22" s="3">
        <v>172</v>
      </c>
      <c r="E22" s="9">
        <v>369</v>
      </c>
      <c r="F22" s="9">
        <v>375</v>
      </c>
      <c r="G22" s="9">
        <v>381</v>
      </c>
      <c r="H22" s="9">
        <f aca="true" t="shared" si="16" ref="H22:O22">G22*1.02</f>
        <v>388.62</v>
      </c>
      <c r="I22" s="9">
        <f t="shared" si="16"/>
        <v>396.3924</v>
      </c>
      <c r="J22" s="9">
        <f t="shared" si="16"/>
        <v>404.320248</v>
      </c>
      <c r="K22" s="9">
        <f t="shared" si="16"/>
        <v>412.40665296</v>
      </c>
      <c r="L22" s="9">
        <f t="shared" si="16"/>
        <v>420.6547860192</v>
      </c>
      <c r="M22" s="9">
        <f t="shared" si="16"/>
        <v>429.06788173958404</v>
      </c>
      <c r="N22" s="9">
        <f t="shared" si="16"/>
        <v>437.6492393743757</v>
      </c>
      <c r="O22" s="9">
        <f t="shared" si="16"/>
        <v>446.4022241618633</v>
      </c>
    </row>
    <row r="23" spans="1:15" ht="56.25">
      <c r="A23" s="8" t="s">
        <v>33</v>
      </c>
      <c r="B23" s="3"/>
      <c r="C23" s="3"/>
      <c r="D23" s="3"/>
      <c r="E23" s="9">
        <v>0</v>
      </c>
      <c r="F23" s="45">
        <v>0</v>
      </c>
      <c r="G23" s="45">
        <v>0</v>
      </c>
      <c r="H23" s="9">
        <f aca="true" t="shared" si="17" ref="H23:O23">G23*1.02</f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</row>
    <row r="24" spans="1:15" ht="18.75">
      <c r="A24" s="8" t="s">
        <v>34</v>
      </c>
      <c r="B24" s="3">
        <v>3</v>
      </c>
      <c r="C24" s="3">
        <v>3.2</v>
      </c>
      <c r="D24" s="3">
        <v>3.3</v>
      </c>
      <c r="E24" s="9">
        <v>0</v>
      </c>
      <c r="F24" s="9">
        <v>0</v>
      </c>
      <c r="G24" s="9">
        <v>0</v>
      </c>
      <c r="H24" s="9">
        <f aca="true" t="shared" si="18" ref="H24:O24">G24*1.02</f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  <c r="M24" s="9">
        <f t="shared" si="18"/>
        <v>0</v>
      </c>
      <c r="N24" s="9">
        <f t="shared" si="18"/>
        <v>0</v>
      </c>
      <c r="O24" s="9">
        <f t="shared" si="18"/>
        <v>0</v>
      </c>
    </row>
    <row r="25" spans="1:15" ht="56.25">
      <c r="A25" s="8" t="s">
        <v>35</v>
      </c>
      <c r="B25" s="3"/>
      <c r="C25" s="3"/>
      <c r="D25" s="3"/>
      <c r="E25" s="9">
        <v>0</v>
      </c>
      <c r="F25" s="45">
        <v>0</v>
      </c>
      <c r="G25" s="45">
        <v>0</v>
      </c>
      <c r="H25" s="9">
        <f aca="true" t="shared" si="19" ref="H25:O25">G25*1.02</f>
        <v>0</v>
      </c>
      <c r="I25" s="9">
        <f t="shared" si="19"/>
        <v>0</v>
      </c>
      <c r="J25" s="9">
        <f t="shared" si="19"/>
        <v>0</v>
      </c>
      <c r="K25" s="9">
        <f t="shared" si="19"/>
        <v>0</v>
      </c>
      <c r="L25" s="9">
        <f t="shared" si="19"/>
        <v>0</v>
      </c>
      <c r="M25" s="9">
        <f t="shared" si="19"/>
        <v>0</v>
      </c>
      <c r="N25" s="9">
        <f t="shared" si="19"/>
        <v>0</v>
      </c>
      <c r="O25" s="9">
        <f t="shared" si="19"/>
        <v>0</v>
      </c>
    </row>
    <row r="26" spans="1:15" ht="19.5">
      <c r="A26" s="7" t="s">
        <v>36</v>
      </c>
      <c r="B26" s="3">
        <v>284.8</v>
      </c>
      <c r="C26" s="3">
        <v>289.6</v>
      </c>
      <c r="D26" s="3">
        <v>254.9</v>
      </c>
      <c r="E26" s="9">
        <f>E27+E29+E30</f>
        <v>190</v>
      </c>
      <c r="F26" s="9">
        <f>F27+F29+F30</f>
        <v>190</v>
      </c>
      <c r="G26" s="9">
        <f>G27+G29+G30</f>
        <v>190</v>
      </c>
      <c r="H26" s="9">
        <f aca="true" t="shared" si="20" ref="H26:O26">G26*1.02</f>
        <v>193.8</v>
      </c>
      <c r="I26" s="9">
        <f t="shared" si="20"/>
        <v>197.67600000000002</v>
      </c>
      <c r="J26" s="9">
        <f t="shared" si="20"/>
        <v>201.62952</v>
      </c>
      <c r="K26" s="9">
        <f t="shared" si="20"/>
        <v>205.66211040000002</v>
      </c>
      <c r="L26" s="9">
        <f t="shared" si="20"/>
        <v>209.77535260800002</v>
      </c>
      <c r="M26" s="9">
        <f t="shared" si="20"/>
        <v>213.97085966016002</v>
      </c>
      <c r="N26" s="9">
        <f t="shared" si="20"/>
        <v>218.25027685336323</v>
      </c>
      <c r="O26" s="9">
        <f t="shared" si="20"/>
        <v>222.6152823904305</v>
      </c>
    </row>
    <row r="27" spans="1:15" ht="75">
      <c r="A27" s="8" t="s">
        <v>37</v>
      </c>
      <c r="B27" s="3">
        <v>182.8</v>
      </c>
      <c r="C27" s="3">
        <v>184.6</v>
      </c>
      <c r="D27" s="3">
        <v>186.5</v>
      </c>
      <c r="E27" s="9">
        <v>115</v>
      </c>
      <c r="F27" s="9">
        <v>115</v>
      </c>
      <c r="G27" s="9">
        <v>115</v>
      </c>
      <c r="H27" s="9">
        <f aca="true" t="shared" si="21" ref="H27:O27">G27*1.02</f>
        <v>117.3</v>
      </c>
      <c r="I27" s="9">
        <f t="shared" si="21"/>
        <v>119.646</v>
      </c>
      <c r="J27" s="9">
        <f t="shared" si="21"/>
        <v>122.03892</v>
      </c>
      <c r="K27" s="9">
        <f t="shared" si="21"/>
        <v>124.4796984</v>
      </c>
      <c r="L27" s="9">
        <f t="shared" si="21"/>
        <v>126.96929236800001</v>
      </c>
      <c r="M27" s="9">
        <f t="shared" si="21"/>
        <v>129.50867821536002</v>
      </c>
      <c r="N27" s="9">
        <f t="shared" si="21"/>
        <v>132.09885177966723</v>
      </c>
      <c r="O27" s="9">
        <f t="shared" si="21"/>
        <v>134.74082881526058</v>
      </c>
    </row>
    <row r="28" spans="1:15" ht="37.5">
      <c r="A28" s="8" t="s">
        <v>38</v>
      </c>
      <c r="B28" s="3"/>
      <c r="C28" s="3"/>
      <c r="D28" s="3"/>
      <c r="E28" s="9">
        <v>0</v>
      </c>
      <c r="F28" s="45">
        <v>0</v>
      </c>
      <c r="G28" s="45">
        <v>0</v>
      </c>
      <c r="H28" s="9">
        <f aca="true" t="shared" si="22" ref="H28:O28">G28*1.02</f>
        <v>0</v>
      </c>
      <c r="I28" s="9">
        <f t="shared" si="22"/>
        <v>0</v>
      </c>
      <c r="J28" s="9">
        <f t="shared" si="22"/>
        <v>0</v>
      </c>
      <c r="K28" s="9">
        <f t="shared" si="22"/>
        <v>0</v>
      </c>
      <c r="L28" s="9">
        <f t="shared" si="22"/>
        <v>0</v>
      </c>
      <c r="M28" s="9">
        <f t="shared" si="22"/>
        <v>0</v>
      </c>
      <c r="N28" s="9">
        <f t="shared" si="22"/>
        <v>0</v>
      </c>
      <c r="O28" s="9">
        <f t="shared" si="22"/>
        <v>0</v>
      </c>
    </row>
    <row r="29" spans="1:15" ht="56.25">
      <c r="A29" s="8" t="s">
        <v>39</v>
      </c>
      <c r="B29" s="3">
        <v>62</v>
      </c>
      <c r="C29" s="3">
        <v>65</v>
      </c>
      <c r="D29" s="3">
        <v>68</v>
      </c>
      <c r="E29" s="9">
        <v>75</v>
      </c>
      <c r="F29" s="9">
        <v>75</v>
      </c>
      <c r="G29" s="9">
        <v>75</v>
      </c>
      <c r="H29" s="9">
        <f aca="true" t="shared" si="23" ref="H29:O29">G29*1.02</f>
        <v>76.5</v>
      </c>
      <c r="I29" s="9">
        <f t="shared" si="23"/>
        <v>78.03</v>
      </c>
      <c r="J29" s="9">
        <f t="shared" si="23"/>
        <v>79.59060000000001</v>
      </c>
      <c r="K29" s="9">
        <f t="shared" si="23"/>
        <v>81.18241200000001</v>
      </c>
      <c r="L29" s="9">
        <f t="shared" si="23"/>
        <v>82.80606024000002</v>
      </c>
      <c r="M29" s="9">
        <f t="shared" si="23"/>
        <v>84.46218144480002</v>
      </c>
      <c r="N29" s="9">
        <f t="shared" si="23"/>
        <v>86.15142507369603</v>
      </c>
      <c r="O29" s="9">
        <f t="shared" si="23"/>
        <v>87.87445357516995</v>
      </c>
    </row>
    <row r="30" spans="1:15" ht="37.5">
      <c r="A30" s="8" t="s">
        <v>40</v>
      </c>
      <c r="B30" s="3">
        <v>40</v>
      </c>
      <c r="C30" s="3">
        <v>40</v>
      </c>
      <c r="D30" s="3">
        <v>40</v>
      </c>
      <c r="E30" s="9">
        <v>0</v>
      </c>
      <c r="F30" s="9">
        <v>0</v>
      </c>
      <c r="G30" s="9">
        <v>0</v>
      </c>
      <c r="H30" s="3">
        <f aca="true" t="shared" si="24" ref="H30:O30">G30*1.02</f>
        <v>0</v>
      </c>
      <c r="I30" s="3">
        <f t="shared" si="24"/>
        <v>0</v>
      </c>
      <c r="J30" s="3">
        <f t="shared" si="24"/>
        <v>0</v>
      </c>
      <c r="K30" s="3">
        <f t="shared" si="24"/>
        <v>0</v>
      </c>
      <c r="L30" s="3">
        <f t="shared" si="24"/>
        <v>0</v>
      </c>
      <c r="M30" s="3">
        <f t="shared" si="24"/>
        <v>0</v>
      </c>
      <c r="N30" s="3">
        <f t="shared" si="24"/>
        <v>0</v>
      </c>
      <c r="O30" s="3">
        <f t="shared" si="24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5">
        <v>0</v>
      </c>
      <c r="G31" s="45">
        <v>0</v>
      </c>
      <c r="H31" s="3">
        <f aca="true" t="shared" si="25" ref="H31:O31">G31*1.02</f>
        <v>0</v>
      </c>
      <c r="I31" s="3">
        <f t="shared" si="25"/>
        <v>0</v>
      </c>
      <c r="J31" s="3">
        <f t="shared" si="25"/>
        <v>0</v>
      </c>
      <c r="K31" s="3">
        <f t="shared" si="25"/>
        <v>0</v>
      </c>
      <c r="L31" s="3">
        <f t="shared" si="25"/>
        <v>0</v>
      </c>
      <c r="M31" s="3">
        <f t="shared" si="25"/>
        <v>0</v>
      </c>
      <c r="N31" s="3">
        <f t="shared" si="25"/>
        <v>0</v>
      </c>
      <c r="O31" s="3">
        <f t="shared" si="25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5">
        <v>0</v>
      </c>
      <c r="G32" s="45">
        <v>0</v>
      </c>
      <c r="H32" s="3">
        <f aca="true" t="shared" si="26" ref="H32:O32">G32*1.02</f>
        <v>0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0</v>
      </c>
      <c r="N32" s="3">
        <f t="shared" si="26"/>
        <v>0</v>
      </c>
      <c r="O32" s="3">
        <f t="shared" si="26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5">
        <v>0</v>
      </c>
      <c r="G33" s="45">
        <v>0</v>
      </c>
      <c r="H33" s="3">
        <f aca="true" t="shared" si="27" ref="H33:O33">G33*1.02</f>
        <v>0</v>
      </c>
      <c r="I33" s="3">
        <f t="shared" si="27"/>
        <v>0</v>
      </c>
      <c r="J33" s="3">
        <f t="shared" si="27"/>
        <v>0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0</v>
      </c>
      <c r="O33" s="3">
        <f t="shared" si="27"/>
        <v>0</v>
      </c>
    </row>
    <row r="34" spans="1:15" ht="75">
      <c r="A34" s="6" t="s">
        <v>44</v>
      </c>
      <c r="B34" s="3">
        <v>3961.3</v>
      </c>
      <c r="C34" s="3">
        <v>3985.9</v>
      </c>
      <c r="D34" s="3">
        <v>3998.9</v>
      </c>
      <c r="E34" s="9">
        <f>E35</f>
        <v>3505.4</v>
      </c>
      <c r="F34" s="9">
        <f>F35</f>
        <v>2539.3</v>
      </c>
      <c r="G34" s="9">
        <f>G35</f>
        <v>2539.3</v>
      </c>
      <c r="H34" s="9">
        <f aca="true" t="shared" si="28" ref="H34:O34">G34*1.02</f>
        <v>2590.0860000000002</v>
      </c>
      <c r="I34" s="9">
        <f t="shared" si="28"/>
        <v>2641.88772</v>
      </c>
      <c r="J34" s="9">
        <f t="shared" si="28"/>
        <v>2694.7254744</v>
      </c>
      <c r="K34" s="9">
        <f t="shared" si="28"/>
        <v>2748.619983888</v>
      </c>
      <c r="L34" s="9">
        <f t="shared" si="28"/>
        <v>2803.5923835657604</v>
      </c>
      <c r="M34" s="9">
        <f t="shared" si="28"/>
        <v>2859.664231237076</v>
      </c>
      <c r="N34" s="9">
        <f t="shared" si="28"/>
        <v>2916.8575158618173</v>
      </c>
      <c r="O34" s="9">
        <f t="shared" si="28"/>
        <v>2975.194666179054</v>
      </c>
    </row>
    <row r="35" spans="1:15" ht="18.75">
      <c r="A35" s="8" t="s">
        <v>45</v>
      </c>
      <c r="B35" s="3">
        <v>3840.1</v>
      </c>
      <c r="C35" s="3">
        <v>3864.7</v>
      </c>
      <c r="D35" s="3">
        <v>3877.7</v>
      </c>
      <c r="E35" s="9">
        <v>3505.4</v>
      </c>
      <c r="F35" s="9">
        <v>2539.3</v>
      </c>
      <c r="G35" s="9">
        <v>2539.3</v>
      </c>
      <c r="H35" s="9">
        <f aca="true" t="shared" si="29" ref="H35:O35">G35*1.02</f>
        <v>2590.0860000000002</v>
      </c>
      <c r="I35" s="9">
        <f t="shared" si="29"/>
        <v>2641.88772</v>
      </c>
      <c r="J35" s="9">
        <f t="shared" si="29"/>
        <v>2694.7254744</v>
      </c>
      <c r="K35" s="9">
        <f t="shared" si="29"/>
        <v>2748.619983888</v>
      </c>
      <c r="L35" s="9">
        <f t="shared" si="29"/>
        <v>2803.5923835657604</v>
      </c>
      <c r="M35" s="9">
        <f t="shared" si="29"/>
        <v>2859.664231237076</v>
      </c>
      <c r="N35" s="9">
        <f t="shared" si="29"/>
        <v>2916.8575158618173</v>
      </c>
      <c r="O35" s="9">
        <f t="shared" si="29"/>
        <v>2975.194666179054</v>
      </c>
    </row>
    <row r="36" spans="1:15" ht="56.25">
      <c r="A36" s="8" t="s">
        <v>46</v>
      </c>
      <c r="B36" s="3"/>
      <c r="C36" s="3"/>
      <c r="D36" s="3"/>
      <c r="E36" s="3">
        <v>0</v>
      </c>
      <c r="F36" s="4">
        <v>0</v>
      </c>
      <c r="G36" s="4">
        <v>0</v>
      </c>
      <c r="H36" s="3">
        <f aca="true" t="shared" si="30" ref="H36:O36">G36*1.02</f>
        <v>0</v>
      </c>
      <c r="I36" s="3">
        <f t="shared" si="30"/>
        <v>0</v>
      </c>
      <c r="J36" s="3">
        <f t="shared" si="30"/>
        <v>0</v>
      </c>
      <c r="K36" s="3">
        <f t="shared" si="30"/>
        <v>0</v>
      </c>
      <c r="L36" s="3">
        <f t="shared" si="30"/>
        <v>0</v>
      </c>
      <c r="M36" s="3">
        <f t="shared" si="30"/>
        <v>0</v>
      </c>
      <c r="N36" s="3">
        <f t="shared" si="30"/>
        <v>0</v>
      </c>
      <c r="O36" s="3">
        <f t="shared" si="30"/>
        <v>0</v>
      </c>
    </row>
    <row r="37" spans="1:15" ht="37.5">
      <c r="A37" s="8" t="s">
        <v>47</v>
      </c>
      <c r="B37" s="3"/>
      <c r="C37" s="3"/>
      <c r="D37" s="3"/>
      <c r="E37" s="3">
        <v>0</v>
      </c>
      <c r="F37" s="4">
        <v>0</v>
      </c>
      <c r="G37" s="4">
        <v>0</v>
      </c>
      <c r="H37" s="3">
        <f aca="true" t="shared" si="31" ref="H37:O37">G37*1.02</f>
        <v>0</v>
      </c>
      <c r="I37" s="3">
        <f t="shared" si="31"/>
        <v>0</v>
      </c>
      <c r="J37" s="3">
        <f t="shared" si="31"/>
        <v>0</v>
      </c>
      <c r="K37" s="3">
        <f t="shared" si="31"/>
        <v>0</v>
      </c>
      <c r="L37" s="3">
        <f t="shared" si="31"/>
        <v>0</v>
      </c>
      <c r="M37" s="3">
        <f t="shared" si="31"/>
        <v>0</v>
      </c>
      <c r="N37" s="3">
        <f t="shared" si="31"/>
        <v>0</v>
      </c>
      <c r="O37" s="3">
        <f t="shared" si="31"/>
        <v>0</v>
      </c>
    </row>
    <row r="38" spans="1:15" ht="37.5">
      <c r="A38" s="8" t="s">
        <v>48</v>
      </c>
      <c r="B38" s="3">
        <v>121.2</v>
      </c>
      <c r="C38" s="3">
        <v>121.2</v>
      </c>
      <c r="D38" s="3">
        <v>121.2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  <c r="M40" s="1" t="s">
        <v>85</v>
      </c>
      <c r="N40" s="1" t="s">
        <v>83</v>
      </c>
      <c r="O40" s="1" t="s">
        <v>84</v>
      </c>
    </row>
    <row r="41" spans="1:15" ht="93.75">
      <c r="A41" s="6" t="s">
        <v>49</v>
      </c>
      <c r="B41" s="3">
        <v>5514.4</v>
      </c>
      <c r="C41" s="3">
        <v>5576.5</v>
      </c>
      <c r="D41" s="3">
        <v>5588.1</v>
      </c>
      <c r="E41" s="3">
        <f aca="true" t="shared" si="32" ref="E41:O41">SUM(E43:E53)</f>
        <v>4211</v>
      </c>
      <c r="F41" s="3">
        <f t="shared" si="32"/>
        <v>3226</v>
      </c>
      <c r="G41" s="3">
        <f t="shared" si="32"/>
        <v>3232</v>
      </c>
      <c r="H41" s="3">
        <f t="shared" si="32"/>
        <v>4092.3999999999996</v>
      </c>
      <c r="I41" s="3">
        <f t="shared" si="32"/>
        <v>4174.2</v>
      </c>
      <c r="J41" s="3">
        <f t="shared" si="32"/>
        <v>4257.7</v>
      </c>
      <c r="K41" s="3">
        <f t="shared" si="32"/>
        <v>4342.8</v>
      </c>
      <c r="L41" s="3">
        <f t="shared" si="32"/>
        <v>4429.7</v>
      </c>
      <c r="M41" s="3">
        <f t="shared" si="32"/>
        <v>4257.7</v>
      </c>
      <c r="N41" s="3">
        <f t="shared" si="32"/>
        <v>4342.8</v>
      </c>
      <c r="O41" s="3">
        <f t="shared" si="32"/>
        <v>4429.7</v>
      </c>
    </row>
    <row r="42" spans="1:15" ht="18.75">
      <c r="A42" s="8" t="s">
        <v>50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8.75">
      <c r="A43" s="8" t="s">
        <v>51</v>
      </c>
      <c r="B43" s="3">
        <v>2433.5</v>
      </c>
      <c r="C43" s="3">
        <v>2440.5</v>
      </c>
      <c r="D43" s="3">
        <v>2440.5</v>
      </c>
      <c r="E43" s="3">
        <v>2637.5</v>
      </c>
      <c r="F43" s="3">
        <v>2637.5</v>
      </c>
      <c r="G43" s="3">
        <v>2637.5</v>
      </c>
      <c r="H43" s="3">
        <v>2460</v>
      </c>
      <c r="I43" s="3">
        <v>2510</v>
      </c>
      <c r="J43" s="3">
        <v>2580</v>
      </c>
      <c r="K43" s="3">
        <v>2600</v>
      </c>
      <c r="L43" s="3">
        <v>2620</v>
      </c>
      <c r="M43" s="3">
        <v>2580</v>
      </c>
      <c r="N43" s="3">
        <v>2600</v>
      </c>
      <c r="O43" s="3">
        <v>2620</v>
      </c>
    </row>
    <row r="44" spans="1:15" ht="18.75">
      <c r="A44" s="8" t="s">
        <v>52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 ht="37.5">
      <c r="A45" s="8" t="s">
        <v>53</v>
      </c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9"/>
    </row>
    <row r="46" spans="1:16" ht="18.75">
      <c r="A46" s="8" t="s">
        <v>54</v>
      </c>
      <c r="B46" s="3">
        <v>1494.1</v>
      </c>
      <c r="C46" s="3">
        <v>1547.8</v>
      </c>
      <c r="D46" s="3">
        <v>1550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70"/>
    </row>
    <row r="47" spans="1:16" ht="18.75">
      <c r="A47" s="8" t="s">
        <v>55</v>
      </c>
      <c r="B47" s="3">
        <v>223.7</v>
      </c>
      <c r="C47" s="3">
        <v>230</v>
      </c>
      <c r="D47" s="3">
        <v>240</v>
      </c>
      <c r="E47" s="3">
        <v>170</v>
      </c>
      <c r="F47" s="3">
        <v>170</v>
      </c>
      <c r="G47" s="3">
        <v>170</v>
      </c>
      <c r="H47" s="3">
        <v>260</v>
      </c>
      <c r="I47" s="3">
        <v>270</v>
      </c>
      <c r="J47" s="3">
        <v>270</v>
      </c>
      <c r="K47" s="3">
        <v>280</v>
      </c>
      <c r="L47" s="3">
        <v>290</v>
      </c>
      <c r="M47" s="3">
        <v>270</v>
      </c>
      <c r="N47" s="3">
        <v>280</v>
      </c>
      <c r="O47" s="3">
        <v>290</v>
      </c>
      <c r="P47" s="69"/>
    </row>
    <row r="48" spans="1:16" ht="18.75">
      <c r="A48" s="8" t="s">
        <v>56</v>
      </c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9"/>
    </row>
    <row r="49" spans="1:15" ht="18.75">
      <c r="A49" s="8" t="s">
        <v>57</v>
      </c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8.75">
      <c r="A50" s="8" t="s">
        <v>58</v>
      </c>
      <c r="B50" s="3">
        <v>1255.1</v>
      </c>
      <c r="C50" s="3">
        <v>1250.2</v>
      </c>
      <c r="D50" s="3">
        <v>1249.6</v>
      </c>
      <c r="E50" s="3">
        <v>1295.5</v>
      </c>
      <c r="F50" s="3">
        <v>310.5</v>
      </c>
      <c r="G50" s="3">
        <v>316.5</v>
      </c>
      <c r="H50" s="3">
        <f>1323.3-58.9</f>
        <v>1264.3999999999999</v>
      </c>
      <c r="I50" s="3">
        <f>1337.4-51.2</f>
        <v>1286.2</v>
      </c>
      <c r="J50" s="3">
        <v>1299.7</v>
      </c>
      <c r="K50" s="3">
        <f>1346.2+8.6</f>
        <v>1354.8</v>
      </c>
      <c r="L50" s="3">
        <f>1353.4+58.3</f>
        <v>1411.7</v>
      </c>
      <c r="M50" s="3">
        <v>1299.7</v>
      </c>
      <c r="N50" s="3">
        <f>1346.2+8.6</f>
        <v>1354.8</v>
      </c>
      <c r="O50" s="3">
        <f>1353.4+58.3</f>
        <v>1411.7</v>
      </c>
    </row>
    <row r="51" spans="1:15" ht="18.75">
      <c r="A51" s="8" t="s">
        <v>59</v>
      </c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8.75">
      <c r="A52" s="8" t="s">
        <v>60</v>
      </c>
      <c r="B52" s="3">
        <v>108</v>
      </c>
      <c r="C52" s="3">
        <v>108</v>
      </c>
      <c r="D52" s="3">
        <v>108</v>
      </c>
      <c r="E52" s="3">
        <v>108</v>
      </c>
      <c r="F52" s="3">
        <v>108</v>
      </c>
      <c r="G52" s="3">
        <v>108</v>
      </c>
      <c r="H52" s="3">
        <v>108</v>
      </c>
      <c r="I52" s="3">
        <v>108</v>
      </c>
      <c r="J52" s="3">
        <v>108</v>
      </c>
      <c r="K52" s="3">
        <v>108</v>
      </c>
      <c r="L52" s="3">
        <v>108</v>
      </c>
      <c r="M52" s="3">
        <v>108</v>
      </c>
      <c r="N52" s="3">
        <v>108</v>
      </c>
      <c r="O52" s="3">
        <v>108</v>
      </c>
    </row>
    <row r="53" spans="1:15" ht="18.75">
      <c r="A53" s="8" t="s">
        <v>61</v>
      </c>
      <c r="B53" s="3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Q54" sqref="Q54"/>
    </sheetView>
  </sheetViews>
  <sheetFormatPr defaultColWidth="9.140625" defaultRowHeight="15"/>
  <cols>
    <col min="1" max="1" width="44.28125" style="0" customWidth="1"/>
    <col min="2" max="2" width="12.421875" style="0" customWidth="1"/>
    <col min="3" max="4" width="12.7109375" style="0" customWidth="1"/>
    <col min="5" max="5" width="12.421875" style="0" customWidth="1"/>
    <col min="6" max="6" width="12.7109375" style="0" customWidth="1"/>
    <col min="7" max="7" width="13.57421875" style="0" customWidth="1"/>
    <col min="8" max="8" width="13.140625" style="0" customWidth="1"/>
    <col min="9" max="9" width="13.7109375" style="0" customWidth="1"/>
    <col min="10" max="10" width="13.00390625" style="0" customWidth="1"/>
    <col min="11" max="11" width="13.421875" style="0" customWidth="1"/>
    <col min="12" max="12" width="13.7109375" style="0" customWidth="1"/>
  </cols>
  <sheetData>
    <row r="1" spans="1:12" ht="23.25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>
      <c r="A2" s="1" t="s">
        <v>0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3</v>
      </c>
      <c r="J2" s="1" t="s">
        <v>85</v>
      </c>
      <c r="K2" s="1" t="s">
        <v>83</v>
      </c>
      <c r="L2" s="1" t="s">
        <v>84</v>
      </c>
    </row>
    <row r="3" spans="1:12" ht="75">
      <c r="A3" s="2" t="s">
        <v>4</v>
      </c>
      <c r="B3" s="14">
        <f aca="true" t="shared" si="0" ref="B3:L3">B4+B7</f>
        <v>4269.2</v>
      </c>
      <c r="C3" s="14">
        <f t="shared" si="0"/>
        <v>2980.8</v>
      </c>
      <c r="D3" s="14">
        <f t="shared" si="0"/>
        <v>2985.3</v>
      </c>
      <c r="E3" s="13">
        <f t="shared" si="0"/>
        <v>3045.006</v>
      </c>
      <c r="F3" s="13">
        <f t="shared" si="0"/>
        <v>3105.90612</v>
      </c>
      <c r="G3" s="13">
        <f t="shared" si="0"/>
        <v>3168.0242424000003</v>
      </c>
      <c r="H3" s="13">
        <f t="shared" si="0"/>
        <v>3231.3847272480007</v>
      </c>
      <c r="I3" s="13">
        <f t="shared" si="0"/>
        <v>3296.012421792961</v>
      </c>
      <c r="J3" s="13">
        <f t="shared" si="0"/>
        <v>3361.9326702288204</v>
      </c>
      <c r="K3" s="13">
        <f t="shared" si="0"/>
        <v>3429.1713236333967</v>
      </c>
      <c r="L3" s="13">
        <f t="shared" si="0"/>
        <v>3497.7547501060644</v>
      </c>
    </row>
    <row r="4" spans="1:12" ht="18.75">
      <c r="A4" s="3" t="s">
        <v>5</v>
      </c>
      <c r="B4" s="14">
        <f aca="true" t="shared" si="1" ref="B4:L4">B5+B6</f>
        <v>302</v>
      </c>
      <c r="C4" s="14">
        <f t="shared" si="1"/>
        <v>305.5</v>
      </c>
      <c r="D4" s="14">
        <f t="shared" si="1"/>
        <v>310</v>
      </c>
      <c r="E4" s="13">
        <f t="shared" si="1"/>
        <v>316.2</v>
      </c>
      <c r="F4" s="13">
        <f t="shared" si="1"/>
        <v>322.524</v>
      </c>
      <c r="G4" s="13">
        <f t="shared" si="1"/>
        <v>328.97448</v>
      </c>
      <c r="H4" s="13">
        <f t="shared" si="1"/>
        <v>335.5539696000001</v>
      </c>
      <c r="I4" s="13">
        <f t="shared" si="1"/>
        <v>342.26504899200006</v>
      </c>
      <c r="J4" s="13">
        <f t="shared" si="1"/>
        <v>349.11034997184004</v>
      </c>
      <c r="K4" s="13">
        <f t="shared" si="1"/>
        <v>356.09255697127685</v>
      </c>
      <c r="L4" s="13">
        <f t="shared" si="1"/>
        <v>363.2144081107024</v>
      </c>
    </row>
    <row r="5" spans="1:12" ht="18.75">
      <c r="A5" s="5" t="s">
        <v>6</v>
      </c>
      <c r="B5" s="14">
        <f aca="true" t="shared" si="2" ref="B5:L5">B15</f>
        <v>293</v>
      </c>
      <c r="C5" s="14">
        <f t="shared" si="2"/>
        <v>296.5</v>
      </c>
      <c r="D5" s="14">
        <f t="shared" si="2"/>
        <v>301</v>
      </c>
      <c r="E5" s="13">
        <f t="shared" si="2"/>
        <v>307.02</v>
      </c>
      <c r="F5" s="13">
        <f t="shared" si="2"/>
        <v>313.1604</v>
      </c>
      <c r="G5" s="13">
        <f t="shared" si="2"/>
        <v>319.423608</v>
      </c>
      <c r="H5" s="13">
        <f t="shared" si="2"/>
        <v>325.81208016000005</v>
      </c>
      <c r="I5" s="13">
        <f t="shared" si="2"/>
        <v>332.32832176320005</v>
      </c>
      <c r="J5" s="13">
        <f t="shared" si="2"/>
        <v>338.97488819846404</v>
      </c>
      <c r="K5" s="13">
        <f t="shared" si="2"/>
        <v>345.75438596243333</v>
      </c>
      <c r="L5" s="13">
        <f t="shared" si="2"/>
        <v>352.669473681682</v>
      </c>
    </row>
    <row r="6" spans="1:12" ht="18.75">
      <c r="A6" s="5" t="s">
        <v>7</v>
      </c>
      <c r="B6" s="14">
        <f aca="true" t="shared" si="3" ref="B6:L6">B26</f>
        <v>9</v>
      </c>
      <c r="C6" s="14">
        <f t="shared" si="3"/>
        <v>9</v>
      </c>
      <c r="D6" s="14">
        <f t="shared" si="3"/>
        <v>9</v>
      </c>
      <c r="E6" s="13">
        <f t="shared" si="3"/>
        <v>9.18</v>
      </c>
      <c r="F6" s="13">
        <f t="shared" si="3"/>
        <v>9.3636</v>
      </c>
      <c r="G6" s="13">
        <f t="shared" si="3"/>
        <v>9.550872</v>
      </c>
      <c r="H6" s="13">
        <f t="shared" si="3"/>
        <v>9.74188944</v>
      </c>
      <c r="I6" s="13">
        <f t="shared" si="3"/>
        <v>9.9367272288</v>
      </c>
      <c r="J6" s="13">
        <f t="shared" si="3"/>
        <v>10.135461773376</v>
      </c>
      <c r="K6" s="13">
        <f t="shared" si="3"/>
        <v>10.33817100884352</v>
      </c>
      <c r="L6" s="13">
        <f t="shared" si="3"/>
        <v>10.54493442902039</v>
      </c>
    </row>
    <row r="7" spans="1:12" ht="75">
      <c r="A7" s="3" t="s">
        <v>8</v>
      </c>
      <c r="B7" s="14">
        <f aca="true" t="shared" si="4" ref="B7:L7">B34</f>
        <v>3967.2</v>
      </c>
      <c r="C7" s="14">
        <f t="shared" si="4"/>
        <v>2675.3</v>
      </c>
      <c r="D7" s="14">
        <f t="shared" si="4"/>
        <v>2675.3</v>
      </c>
      <c r="E7" s="13">
        <f t="shared" si="4"/>
        <v>2728.806</v>
      </c>
      <c r="F7" s="13">
        <f t="shared" si="4"/>
        <v>2783.38212</v>
      </c>
      <c r="G7" s="13">
        <f t="shared" si="4"/>
        <v>2839.0497624000004</v>
      </c>
      <c r="H7" s="13">
        <f t="shared" si="4"/>
        <v>2895.8307576480006</v>
      </c>
      <c r="I7" s="13">
        <f t="shared" si="4"/>
        <v>2953.747372800961</v>
      </c>
      <c r="J7" s="13">
        <f t="shared" si="4"/>
        <v>3012.82232025698</v>
      </c>
      <c r="K7" s="13">
        <f t="shared" si="4"/>
        <v>3073.07876666212</v>
      </c>
      <c r="L7" s="13">
        <f t="shared" si="4"/>
        <v>3134.5403419953623</v>
      </c>
    </row>
    <row r="8" spans="1:12" ht="93.75">
      <c r="A8" s="2" t="s">
        <v>9</v>
      </c>
      <c r="B8" s="14">
        <f>B41</f>
        <v>4269.2</v>
      </c>
      <c r="C8" s="14">
        <f aca="true" t="shared" si="5" ref="C8:L8">C41</f>
        <v>2980.8</v>
      </c>
      <c r="D8" s="14">
        <f t="shared" si="5"/>
        <v>2985.3</v>
      </c>
      <c r="E8" s="13">
        <f t="shared" si="5"/>
        <v>3846.3</v>
      </c>
      <c r="F8" s="13">
        <f t="shared" si="5"/>
        <v>3923.2</v>
      </c>
      <c r="G8" s="13">
        <f t="shared" si="5"/>
        <v>4001.7</v>
      </c>
      <c r="H8" s="13">
        <f t="shared" si="5"/>
        <v>4081.7</v>
      </c>
      <c r="I8" s="13">
        <f t="shared" si="5"/>
        <v>4163.4</v>
      </c>
      <c r="J8" s="13">
        <f t="shared" si="5"/>
        <v>4246.6</v>
      </c>
      <c r="K8" s="13">
        <f t="shared" si="5"/>
        <v>4331.6</v>
      </c>
      <c r="L8" s="13">
        <f t="shared" si="5"/>
        <v>4418.2</v>
      </c>
    </row>
    <row r="9" spans="1:12" s="50" customFormat="1" ht="18.75">
      <c r="A9" s="48" t="s">
        <v>10</v>
      </c>
      <c r="B9" s="51">
        <f>B3-B8</f>
        <v>0</v>
      </c>
      <c r="C9" s="51">
        <f aca="true" t="shared" si="6" ref="C9:L9">C3-C8</f>
        <v>0</v>
      </c>
      <c r="D9" s="51">
        <f t="shared" si="6"/>
        <v>0</v>
      </c>
      <c r="E9" s="61">
        <f t="shared" si="6"/>
        <v>-801.2940000000003</v>
      </c>
      <c r="F9" s="61">
        <f t="shared" si="6"/>
        <v>-817.2938799999997</v>
      </c>
      <c r="G9" s="61">
        <f t="shared" si="6"/>
        <v>-833.6757575999995</v>
      </c>
      <c r="H9" s="61">
        <f t="shared" si="6"/>
        <v>-850.3152727519991</v>
      </c>
      <c r="I9" s="61">
        <f t="shared" si="6"/>
        <v>-867.3875782070386</v>
      </c>
      <c r="J9" s="61">
        <f t="shared" si="6"/>
        <v>-884.66732977118</v>
      </c>
      <c r="K9" s="61">
        <f t="shared" si="6"/>
        <v>-902.4286763666037</v>
      </c>
      <c r="L9" s="61">
        <f t="shared" si="6"/>
        <v>-920.4452498939354</v>
      </c>
    </row>
    <row r="10" spans="1:12" ht="18.75">
      <c r="A10" s="2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2:12" ht="1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8.75">
      <c r="A12" s="1" t="s">
        <v>0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3</v>
      </c>
      <c r="J12" s="1" t="s">
        <v>85</v>
      </c>
      <c r="K12" s="1" t="s">
        <v>83</v>
      </c>
      <c r="L12" s="1" t="s">
        <v>84</v>
      </c>
    </row>
    <row r="13" spans="1:12" ht="75">
      <c r="A13" s="6" t="s">
        <v>23</v>
      </c>
      <c r="B13" s="14">
        <f>B14+B34</f>
        <v>4269.2</v>
      </c>
      <c r="C13" s="13">
        <f aca="true" t="shared" si="7" ref="C13:L13">C14+C34</f>
        <v>2980.8</v>
      </c>
      <c r="D13" s="13">
        <f t="shared" si="7"/>
        <v>2985.3</v>
      </c>
      <c r="E13" s="13">
        <f t="shared" si="7"/>
        <v>3045.006</v>
      </c>
      <c r="F13" s="13">
        <f t="shared" si="7"/>
        <v>3105.90612</v>
      </c>
      <c r="G13" s="13">
        <f t="shared" si="7"/>
        <v>3168.0242424000003</v>
      </c>
      <c r="H13" s="13">
        <f t="shared" si="7"/>
        <v>3231.3847272480007</v>
      </c>
      <c r="I13" s="13">
        <f t="shared" si="7"/>
        <v>3296.012421792961</v>
      </c>
      <c r="J13" s="13">
        <f t="shared" si="7"/>
        <v>3361.9326702288204</v>
      </c>
      <c r="K13" s="13">
        <f t="shared" si="7"/>
        <v>3429.1713236333967</v>
      </c>
      <c r="L13" s="13">
        <f t="shared" si="7"/>
        <v>3497.7547501060644</v>
      </c>
    </row>
    <row r="14" spans="1:12" ht="37.5">
      <c r="A14" s="6" t="s">
        <v>24</v>
      </c>
      <c r="B14" s="14">
        <f>B15+B26</f>
        <v>302</v>
      </c>
      <c r="C14" s="14">
        <f aca="true" t="shared" si="8" ref="C14:L14">C15+C26</f>
        <v>305.5</v>
      </c>
      <c r="D14" s="14">
        <f t="shared" si="8"/>
        <v>310</v>
      </c>
      <c r="E14" s="13">
        <f t="shared" si="8"/>
        <v>316.2</v>
      </c>
      <c r="F14" s="13">
        <f t="shared" si="8"/>
        <v>322.524</v>
      </c>
      <c r="G14" s="13">
        <f t="shared" si="8"/>
        <v>328.97448</v>
      </c>
      <c r="H14" s="13">
        <f t="shared" si="8"/>
        <v>335.5539696000001</v>
      </c>
      <c r="I14" s="13">
        <f t="shared" si="8"/>
        <v>342.26504899200006</v>
      </c>
      <c r="J14" s="13">
        <f t="shared" si="8"/>
        <v>349.11034997184004</v>
      </c>
      <c r="K14" s="13">
        <f t="shared" si="8"/>
        <v>356.09255697127685</v>
      </c>
      <c r="L14" s="13">
        <f t="shared" si="8"/>
        <v>363.2144081107024</v>
      </c>
    </row>
    <row r="15" spans="1:12" ht="19.5">
      <c r="A15" s="7" t="s">
        <v>25</v>
      </c>
      <c r="B15" s="14">
        <f aca="true" t="shared" si="9" ref="B15:L15">SUM(B16:B25)</f>
        <v>293</v>
      </c>
      <c r="C15" s="13">
        <f t="shared" si="9"/>
        <v>296.5</v>
      </c>
      <c r="D15" s="13">
        <f t="shared" si="9"/>
        <v>301</v>
      </c>
      <c r="E15" s="13">
        <f t="shared" si="9"/>
        <v>307.02</v>
      </c>
      <c r="F15" s="13">
        <f t="shared" si="9"/>
        <v>313.1604</v>
      </c>
      <c r="G15" s="13">
        <f t="shared" si="9"/>
        <v>319.423608</v>
      </c>
      <c r="H15" s="13">
        <f t="shared" si="9"/>
        <v>325.81208016000005</v>
      </c>
      <c r="I15" s="13">
        <f t="shared" si="9"/>
        <v>332.32832176320005</v>
      </c>
      <c r="J15" s="13">
        <f t="shared" si="9"/>
        <v>338.97488819846404</v>
      </c>
      <c r="K15" s="13">
        <f t="shared" si="9"/>
        <v>345.75438596243333</v>
      </c>
      <c r="L15" s="13">
        <f t="shared" si="9"/>
        <v>352.669473681682</v>
      </c>
    </row>
    <row r="16" spans="1:12" ht="18.75">
      <c r="A16" s="8" t="s">
        <v>26</v>
      </c>
      <c r="B16" s="14">
        <v>122</v>
      </c>
      <c r="C16" s="14">
        <v>123.5</v>
      </c>
      <c r="D16" s="14">
        <v>126</v>
      </c>
      <c r="E16" s="13">
        <f aca="true" t="shared" si="10" ref="E16:L16">D16*1.02</f>
        <v>128.52</v>
      </c>
      <c r="F16" s="13">
        <f t="shared" si="10"/>
        <v>131.09040000000002</v>
      </c>
      <c r="G16" s="13">
        <f t="shared" si="10"/>
        <v>133.71220800000003</v>
      </c>
      <c r="H16" s="13">
        <f t="shared" si="10"/>
        <v>136.38645216000003</v>
      </c>
      <c r="I16" s="13">
        <f t="shared" si="10"/>
        <v>139.11418120320005</v>
      </c>
      <c r="J16" s="13">
        <f t="shared" si="10"/>
        <v>141.89646482726405</v>
      </c>
      <c r="K16" s="13">
        <f t="shared" si="10"/>
        <v>144.73439412380935</v>
      </c>
      <c r="L16" s="13">
        <f t="shared" si="10"/>
        <v>147.62908200628553</v>
      </c>
    </row>
    <row r="17" spans="1:12" ht="56.25">
      <c r="A17" s="8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37.5">
      <c r="A18" s="8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7.5">
      <c r="A19" s="8" t="s">
        <v>29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56.25">
      <c r="A20" s="8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7.5">
      <c r="A21" s="8" t="s">
        <v>31</v>
      </c>
      <c r="B21" s="14">
        <v>28</v>
      </c>
      <c r="C21" s="14">
        <v>28</v>
      </c>
      <c r="D21" s="14">
        <v>28</v>
      </c>
      <c r="E21" s="13">
        <f aca="true" t="shared" si="11" ref="E21:L21">D21*1.02</f>
        <v>28.560000000000002</v>
      </c>
      <c r="F21" s="13">
        <f t="shared" si="11"/>
        <v>29.131200000000003</v>
      </c>
      <c r="G21" s="13">
        <f t="shared" si="11"/>
        <v>29.713824000000002</v>
      </c>
      <c r="H21" s="13">
        <f t="shared" si="11"/>
        <v>30.308100480000004</v>
      </c>
      <c r="I21" s="13">
        <f t="shared" si="11"/>
        <v>30.914262489600006</v>
      </c>
      <c r="J21" s="13">
        <f t="shared" si="11"/>
        <v>31.532547739392008</v>
      </c>
      <c r="K21" s="13">
        <f t="shared" si="11"/>
        <v>32.16319869417985</v>
      </c>
      <c r="L21" s="13">
        <f t="shared" si="11"/>
        <v>32.806462668063446</v>
      </c>
    </row>
    <row r="22" spans="1:12" ht="18.75">
      <c r="A22" s="8" t="s">
        <v>32</v>
      </c>
      <c r="B22" s="14">
        <v>143</v>
      </c>
      <c r="C22" s="14">
        <v>145</v>
      </c>
      <c r="D22" s="14">
        <v>147</v>
      </c>
      <c r="E22" s="13">
        <f aca="true" t="shared" si="12" ref="E22:L22">D22*1.02</f>
        <v>149.94</v>
      </c>
      <c r="F22" s="13">
        <f t="shared" si="12"/>
        <v>152.9388</v>
      </c>
      <c r="G22" s="13">
        <f t="shared" si="12"/>
        <v>155.99757599999998</v>
      </c>
      <c r="H22" s="13">
        <f t="shared" si="12"/>
        <v>159.11752751999998</v>
      </c>
      <c r="I22" s="13">
        <f t="shared" si="12"/>
        <v>162.29987807039998</v>
      </c>
      <c r="J22" s="13">
        <f t="shared" si="12"/>
        <v>165.54587563180797</v>
      </c>
      <c r="K22" s="13">
        <f t="shared" si="12"/>
        <v>168.85679314444414</v>
      </c>
      <c r="L22" s="13">
        <f t="shared" si="12"/>
        <v>172.23392900733302</v>
      </c>
    </row>
    <row r="23" spans="1:12" ht="56.25">
      <c r="A23" s="8" t="s">
        <v>33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.75">
      <c r="A24" s="8" t="s">
        <v>34</v>
      </c>
      <c r="B24" s="14">
        <v>0</v>
      </c>
      <c r="C24" s="14">
        <v>0</v>
      </c>
      <c r="D24" s="14">
        <v>0</v>
      </c>
      <c r="E24" s="13">
        <f aca="true" t="shared" si="13" ref="E24:L24">D24*1.02</f>
        <v>0</v>
      </c>
      <c r="F24" s="13">
        <f t="shared" si="13"/>
        <v>0</v>
      </c>
      <c r="G24" s="13">
        <f t="shared" si="13"/>
        <v>0</v>
      </c>
      <c r="H24" s="13">
        <f t="shared" si="13"/>
        <v>0</v>
      </c>
      <c r="I24" s="13">
        <f t="shared" si="13"/>
        <v>0</v>
      </c>
      <c r="J24" s="13">
        <f t="shared" si="13"/>
        <v>0</v>
      </c>
      <c r="K24" s="13">
        <f t="shared" si="13"/>
        <v>0</v>
      </c>
      <c r="L24" s="13">
        <f t="shared" si="13"/>
        <v>0</v>
      </c>
    </row>
    <row r="25" spans="1:12" ht="56.25">
      <c r="A25" s="8" t="s">
        <v>35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9.5">
      <c r="A26" s="7" t="s">
        <v>36</v>
      </c>
      <c r="B26" s="14">
        <f>SUM(B27:B29)</f>
        <v>9</v>
      </c>
      <c r="C26" s="14">
        <f>SUM(C27:C29)</f>
        <v>9</v>
      </c>
      <c r="D26" s="14">
        <f>SUM(D27:D29)</f>
        <v>9</v>
      </c>
      <c r="E26" s="13">
        <f aca="true" t="shared" si="14" ref="E26:L26">D26*1.02</f>
        <v>9.18</v>
      </c>
      <c r="F26" s="13">
        <f t="shared" si="14"/>
        <v>9.3636</v>
      </c>
      <c r="G26" s="13">
        <f t="shared" si="14"/>
        <v>9.550872</v>
      </c>
      <c r="H26" s="13">
        <f t="shared" si="14"/>
        <v>9.74188944</v>
      </c>
      <c r="I26" s="13">
        <f t="shared" si="14"/>
        <v>9.9367272288</v>
      </c>
      <c r="J26" s="13">
        <f t="shared" si="14"/>
        <v>10.135461773376</v>
      </c>
      <c r="K26" s="13">
        <f t="shared" si="14"/>
        <v>10.33817100884352</v>
      </c>
      <c r="L26" s="13">
        <f t="shared" si="14"/>
        <v>10.54493442902039</v>
      </c>
    </row>
    <row r="27" spans="1:12" ht="75">
      <c r="A27" s="8" t="s">
        <v>37</v>
      </c>
      <c r="B27" s="14"/>
      <c r="C27" s="14"/>
      <c r="D27" s="14"/>
      <c r="E27" s="13">
        <f aca="true" t="shared" si="15" ref="E27:L27">D27*1.02</f>
        <v>0</v>
      </c>
      <c r="F27" s="13">
        <f t="shared" si="15"/>
        <v>0</v>
      </c>
      <c r="G27" s="13">
        <f t="shared" si="15"/>
        <v>0</v>
      </c>
      <c r="H27" s="13">
        <f t="shared" si="15"/>
        <v>0</v>
      </c>
      <c r="I27" s="13">
        <f t="shared" si="15"/>
        <v>0</v>
      </c>
      <c r="J27" s="13">
        <f t="shared" si="15"/>
        <v>0</v>
      </c>
      <c r="K27" s="13">
        <f t="shared" si="15"/>
        <v>0</v>
      </c>
      <c r="L27" s="13">
        <f t="shared" si="15"/>
        <v>0</v>
      </c>
    </row>
    <row r="28" spans="1:12" ht="37.5">
      <c r="A28" s="8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56.25">
      <c r="A29" s="8" t="s">
        <v>39</v>
      </c>
      <c r="B29" s="14">
        <v>9</v>
      </c>
      <c r="C29" s="14">
        <v>9</v>
      </c>
      <c r="D29" s="14">
        <v>9</v>
      </c>
      <c r="E29" s="13">
        <f aca="true" t="shared" si="16" ref="E29:L29">D29*1.02</f>
        <v>9.18</v>
      </c>
      <c r="F29" s="13">
        <f t="shared" si="16"/>
        <v>9.3636</v>
      </c>
      <c r="G29" s="13">
        <f t="shared" si="16"/>
        <v>9.550872</v>
      </c>
      <c r="H29" s="13">
        <f t="shared" si="16"/>
        <v>9.74188944</v>
      </c>
      <c r="I29" s="13">
        <f t="shared" si="16"/>
        <v>9.9367272288</v>
      </c>
      <c r="J29" s="13">
        <f t="shared" si="16"/>
        <v>10.135461773376</v>
      </c>
      <c r="K29" s="13">
        <f t="shared" si="16"/>
        <v>10.33817100884352</v>
      </c>
      <c r="L29" s="13">
        <f t="shared" si="16"/>
        <v>10.54493442902039</v>
      </c>
    </row>
    <row r="30" spans="1:12" ht="37.5">
      <c r="A30" s="8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7.5">
      <c r="A31" s="8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37.5">
      <c r="A32" s="8" t="s">
        <v>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8.75">
      <c r="A33" s="8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75">
      <c r="A34" s="6" t="s">
        <v>44</v>
      </c>
      <c r="B34" s="14">
        <f aca="true" t="shared" si="17" ref="B34:L34">SUM(B35:B38)</f>
        <v>3967.2</v>
      </c>
      <c r="C34" s="14">
        <f t="shared" si="17"/>
        <v>2675.3</v>
      </c>
      <c r="D34" s="14">
        <f t="shared" si="17"/>
        <v>2675.3</v>
      </c>
      <c r="E34" s="13">
        <f t="shared" si="17"/>
        <v>2728.806</v>
      </c>
      <c r="F34" s="13">
        <f t="shared" si="17"/>
        <v>2783.38212</v>
      </c>
      <c r="G34" s="13">
        <f t="shared" si="17"/>
        <v>2839.0497624000004</v>
      </c>
      <c r="H34" s="13">
        <f t="shared" si="17"/>
        <v>2895.8307576480006</v>
      </c>
      <c r="I34" s="13">
        <f t="shared" si="17"/>
        <v>2953.747372800961</v>
      </c>
      <c r="J34" s="13">
        <f t="shared" si="17"/>
        <v>3012.82232025698</v>
      </c>
      <c r="K34" s="13">
        <f t="shared" si="17"/>
        <v>3073.07876666212</v>
      </c>
      <c r="L34" s="13">
        <f t="shared" si="17"/>
        <v>3134.5403419953623</v>
      </c>
    </row>
    <row r="35" spans="1:12" ht="18.75">
      <c r="A35" s="8" t="s">
        <v>45</v>
      </c>
      <c r="B35" s="14">
        <v>3967.2</v>
      </c>
      <c r="C35" s="14">
        <v>2675.3</v>
      </c>
      <c r="D35" s="14">
        <v>2675.3</v>
      </c>
      <c r="E35" s="14">
        <f>D35*1.02</f>
        <v>2728.806</v>
      </c>
      <c r="F35" s="13">
        <f aca="true" t="shared" si="18" ref="F35:L35">E35*1.02</f>
        <v>2783.38212</v>
      </c>
      <c r="G35" s="13">
        <f t="shared" si="18"/>
        <v>2839.0497624000004</v>
      </c>
      <c r="H35" s="13">
        <f t="shared" si="18"/>
        <v>2895.8307576480006</v>
      </c>
      <c r="I35" s="13">
        <f t="shared" si="18"/>
        <v>2953.747372800961</v>
      </c>
      <c r="J35" s="13">
        <f t="shared" si="18"/>
        <v>3012.82232025698</v>
      </c>
      <c r="K35" s="13">
        <f t="shared" si="18"/>
        <v>3073.07876666212</v>
      </c>
      <c r="L35" s="13">
        <f t="shared" si="18"/>
        <v>3134.5403419953623</v>
      </c>
    </row>
    <row r="36" spans="1:12" ht="56.25">
      <c r="A36" s="8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37.5">
      <c r="A37" s="8" t="s">
        <v>47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37.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40" spans="1:12" ht="18.75">
      <c r="A40" s="1" t="s">
        <v>0</v>
      </c>
      <c r="B40" s="1" t="s">
        <v>16</v>
      </c>
      <c r="C40" s="1" t="s">
        <v>17</v>
      </c>
      <c r="D40" s="1" t="s">
        <v>18</v>
      </c>
      <c r="E40" s="1" t="s">
        <v>19</v>
      </c>
      <c r="F40" s="1" t="s">
        <v>20</v>
      </c>
      <c r="G40" s="1" t="s">
        <v>21</v>
      </c>
      <c r="H40" s="1" t="s">
        <v>22</v>
      </c>
      <c r="I40" s="1" t="s">
        <v>3</v>
      </c>
      <c r="J40" s="1" t="s">
        <v>85</v>
      </c>
      <c r="K40" s="1" t="s">
        <v>83</v>
      </c>
      <c r="L40" s="1" t="s">
        <v>84</v>
      </c>
    </row>
    <row r="41" spans="1:12" ht="93.75">
      <c r="A41" s="6" t="s">
        <v>49</v>
      </c>
      <c r="B41" s="3">
        <f>SUM(B43:B53)</f>
        <v>4269.2</v>
      </c>
      <c r="C41" s="3">
        <f aca="true" t="shared" si="19" ref="C41:L41">SUM(C43:C53)</f>
        <v>2980.8</v>
      </c>
      <c r="D41" s="3">
        <f>SUM(D43:D53)</f>
        <v>2985.3</v>
      </c>
      <c r="E41" s="3">
        <f t="shared" si="19"/>
        <v>3846.3</v>
      </c>
      <c r="F41" s="3">
        <f t="shared" si="19"/>
        <v>3923.2</v>
      </c>
      <c r="G41" s="3">
        <f t="shared" si="19"/>
        <v>4001.7</v>
      </c>
      <c r="H41" s="3">
        <f t="shared" si="19"/>
        <v>4081.7</v>
      </c>
      <c r="I41" s="3">
        <f t="shared" si="19"/>
        <v>4163.4</v>
      </c>
      <c r="J41" s="3">
        <f t="shared" si="19"/>
        <v>4246.6</v>
      </c>
      <c r="K41" s="3">
        <f t="shared" si="19"/>
        <v>4331.6</v>
      </c>
      <c r="L41" s="3">
        <f t="shared" si="19"/>
        <v>4418.2</v>
      </c>
    </row>
    <row r="42" spans="1:12" ht="18.75">
      <c r="A42" s="8" t="s">
        <v>50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>
      <c r="A43" s="8" t="s">
        <v>51</v>
      </c>
      <c r="B43" s="53">
        <v>2268.5</v>
      </c>
      <c r="C43" s="53">
        <v>2268.5</v>
      </c>
      <c r="D43" s="53">
        <v>2268.5</v>
      </c>
      <c r="E43" s="3">
        <f>2560.6-639.3+70</f>
        <v>1991.3</v>
      </c>
      <c r="F43" s="3">
        <f>2570.6-527.4</f>
        <v>2043.1999999999998</v>
      </c>
      <c r="G43" s="3">
        <f>2575.6-478.9</f>
        <v>2096.7</v>
      </c>
      <c r="H43" s="3">
        <f>2580.6-403.9</f>
        <v>2176.7</v>
      </c>
      <c r="I43" s="3">
        <f>2600.6-392.2</f>
        <v>2208.4</v>
      </c>
      <c r="J43" s="3">
        <f>2620.6-299-30</f>
        <v>2291.6</v>
      </c>
      <c r="K43" s="3">
        <f>2640.6-264</f>
        <v>2376.6</v>
      </c>
      <c r="L43" s="3">
        <f>2660-196.8</f>
        <v>2463.2</v>
      </c>
    </row>
    <row r="44" spans="1:12" ht="18.75">
      <c r="A44" s="8" t="s">
        <v>52</v>
      </c>
      <c r="B44" s="53"/>
      <c r="C44" s="53"/>
      <c r="D44" s="53"/>
      <c r="E44" s="3"/>
      <c r="F44" s="3"/>
      <c r="G44" s="3"/>
      <c r="H44" s="3"/>
      <c r="I44" s="3"/>
      <c r="J44" s="3"/>
      <c r="K44" s="3"/>
      <c r="L44" s="3"/>
    </row>
    <row r="45" spans="1:12" ht="37.5">
      <c r="A45" s="8" t="s">
        <v>53</v>
      </c>
      <c r="B45" s="53"/>
      <c r="C45" s="53"/>
      <c r="D45" s="53"/>
      <c r="E45" s="3"/>
      <c r="F45" s="3"/>
      <c r="G45" s="3"/>
      <c r="H45" s="3"/>
      <c r="I45" s="3"/>
      <c r="J45" s="3"/>
      <c r="K45" s="3"/>
      <c r="L45" s="3"/>
    </row>
    <row r="46" spans="1:12" ht="18.75">
      <c r="A46" s="8" t="s">
        <v>54</v>
      </c>
      <c r="B46" s="53"/>
      <c r="C46" s="53"/>
      <c r="D46" s="53"/>
      <c r="E46" s="3"/>
      <c r="F46" s="3"/>
      <c r="G46" s="3"/>
      <c r="H46" s="3"/>
      <c r="I46" s="3"/>
      <c r="J46" s="3"/>
      <c r="K46" s="3"/>
      <c r="L46" s="3"/>
    </row>
    <row r="47" spans="1:12" ht="18.75">
      <c r="A47" s="8" t="s">
        <v>55</v>
      </c>
      <c r="B47" s="53">
        <v>580.9</v>
      </c>
      <c r="C47" s="53">
        <v>260</v>
      </c>
      <c r="D47" s="53">
        <v>260</v>
      </c>
      <c r="E47" s="3">
        <v>900</v>
      </c>
      <c r="F47" s="3">
        <v>925</v>
      </c>
      <c r="G47" s="3">
        <v>950</v>
      </c>
      <c r="H47" s="3">
        <v>950</v>
      </c>
      <c r="I47" s="3">
        <v>1000</v>
      </c>
      <c r="J47" s="3">
        <v>1000</v>
      </c>
      <c r="K47" s="3">
        <v>1000</v>
      </c>
      <c r="L47" s="3">
        <v>1000</v>
      </c>
    </row>
    <row r="48" spans="1:12" ht="18.75">
      <c r="A48" s="8" t="s">
        <v>56</v>
      </c>
      <c r="B48" s="53"/>
      <c r="C48" s="53"/>
      <c r="D48" s="53"/>
      <c r="E48" s="3"/>
      <c r="F48" s="3"/>
      <c r="G48" s="3"/>
      <c r="H48" s="3"/>
      <c r="I48" s="3"/>
      <c r="J48" s="3"/>
      <c r="K48" s="3"/>
      <c r="L48" s="3"/>
    </row>
    <row r="49" spans="1:12" ht="18.75">
      <c r="A49" s="8" t="s">
        <v>57</v>
      </c>
      <c r="B49" s="53">
        <v>5</v>
      </c>
      <c r="C49" s="53">
        <v>5</v>
      </c>
      <c r="D49" s="53">
        <v>5</v>
      </c>
      <c r="E49" s="3"/>
      <c r="F49" s="3"/>
      <c r="G49" s="3"/>
      <c r="H49" s="3"/>
      <c r="I49" s="3"/>
      <c r="J49" s="3"/>
      <c r="K49" s="3"/>
      <c r="L49" s="3"/>
    </row>
    <row r="50" spans="1:12" ht="18.75">
      <c r="A50" s="8" t="s">
        <v>58</v>
      </c>
      <c r="B50" s="53">
        <v>1373.8</v>
      </c>
      <c r="C50" s="53">
        <v>406.3</v>
      </c>
      <c r="D50" s="53">
        <v>410.8</v>
      </c>
      <c r="E50" s="3">
        <v>950</v>
      </c>
      <c r="F50" s="3">
        <v>950</v>
      </c>
      <c r="G50" s="3">
        <v>950</v>
      </c>
      <c r="H50" s="3">
        <v>950</v>
      </c>
      <c r="I50" s="3">
        <v>950</v>
      </c>
      <c r="J50" s="3">
        <v>950</v>
      </c>
      <c r="K50" s="3">
        <v>950</v>
      </c>
      <c r="L50" s="3">
        <v>950</v>
      </c>
    </row>
    <row r="51" spans="1:12" ht="18.75">
      <c r="A51" s="8" t="s">
        <v>59</v>
      </c>
      <c r="B51" s="53"/>
      <c r="C51" s="53"/>
      <c r="D51" s="53"/>
      <c r="E51" s="3"/>
      <c r="F51" s="3"/>
      <c r="G51" s="3"/>
      <c r="H51" s="3"/>
      <c r="I51" s="3"/>
      <c r="J51" s="3"/>
      <c r="K51" s="3"/>
      <c r="L51" s="3"/>
    </row>
    <row r="52" spans="1:12" ht="18.75">
      <c r="A52" s="8" t="s">
        <v>60</v>
      </c>
      <c r="B52" s="53">
        <v>36</v>
      </c>
      <c r="C52" s="53">
        <v>36</v>
      </c>
      <c r="D52" s="53">
        <v>36</v>
      </c>
      <c r="E52" s="3"/>
      <c r="F52" s="3"/>
      <c r="G52" s="3"/>
      <c r="H52" s="3"/>
      <c r="I52" s="3"/>
      <c r="J52" s="3"/>
      <c r="K52" s="3"/>
      <c r="L52" s="3"/>
    </row>
    <row r="53" spans="1:12" ht="18.75">
      <c r="A53" s="8" t="s">
        <v>61</v>
      </c>
      <c r="B53" s="53">
        <v>5</v>
      </c>
      <c r="C53" s="53">
        <v>5</v>
      </c>
      <c r="D53" s="53">
        <v>5</v>
      </c>
      <c r="E53" s="3">
        <v>5</v>
      </c>
      <c r="F53" s="3">
        <v>5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</row>
    <row r="54" spans="1:12" ht="18.75">
      <c r="A54" s="8" t="s">
        <v>62</v>
      </c>
      <c r="B54" s="53"/>
      <c r="C54" s="53"/>
      <c r="D54" s="53"/>
      <c r="E54" s="3"/>
      <c r="F54" s="3"/>
      <c r="G54" s="3"/>
      <c r="H54" s="3"/>
      <c r="I54" s="3"/>
      <c r="J54" s="3"/>
      <c r="K54" s="3"/>
      <c r="L54" s="3"/>
    </row>
    <row r="55" spans="1:12" ht="37.5">
      <c r="A55" s="8" t="s">
        <v>63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75">
      <c r="A56" s="8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spans="1:12" ht="18.75">
      <c r="A58" s="1" t="s">
        <v>0</v>
      </c>
      <c r="B58" s="1" t="s">
        <v>16</v>
      </c>
      <c r="C58" s="1" t="s">
        <v>17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22</v>
      </c>
      <c r="I58" s="1" t="s">
        <v>3</v>
      </c>
      <c r="J58" s="1" t="s">
        <v>85</v>
      </c>
      <c r="K58" s="1" t="s">
        <v>83</v>
      </c>
      <c r="L58" s="1" t="s">
        <v>84</v>
      </c>
    </row>
    <row r="59" spans="1:12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6" ht="18.75">
      <c r="A66" s="12" t="s">
        <v>70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1">
      <selection activeCell="U14" sqref="U14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  <c r="M2" s="1" t="s">
        <v>85</v>
      </c>
      <c r="N2" s="1" t="s">
        <v>83</v>
      </c>
      <c r="O2" s="1" t="s">
        <v>84</v>
      </c>
    </row>
    <row r="3" spans="1:15" ht="75">
      <c r="A3" s="2" t="s">
        <v>4</v>
      </c>
      <c r="B3" s="13">
        <v>9564.3</v>
      </c>
      <c r="C3" s="13">
        <v>9709.3</v>
      </c>
      <c r="D3" s="13">
        <v>9855.3</v>
      </c>
      <c r="E3" s="13">
        <f>E4+E7</f>
        <v>7588.599999999999</v>
      </c>
      <c r="F3" s="13">
        <f>F4+F7</f>
        <v>5866.099999999999</v>
      </c>
      <c r="G3" s="13">
        <f>G4+G7</f>
        <v>5917.2</v>
      </c>
      <c r="H3" s="13">
        <f aca="true" t="shared" si="0" ref="H3:O3">H4+H7</f>
        <v>6035.544</v>
      </c>
      <c r="I3" s="13">
        <f t="shared" si="0"/>
        <v>6156.25488</v>
      </c>
      <c r="J3" s="13">
        <f t="shared" si="0"/>
        <v>6279.3799776</v>
      </c>
      <c r="K3" s="13">
        <f t="shared" si="0"/>
        <v>6404.967577152</v>
      </c>
      <c r="L3" s="13">
        <f t="shared" si="0"/>
        <v>6533.06692869504</v>
      </c>
      <c r="M3" s="13">
        <f t="shared" si="0"/>
        <v>6663.728267268941</v>
      </c>
      <c r="N3" s="13">
        <f t="shared" si="0"/>
        <v>6797.00283261432</v>
      </c>
      <c r="O3" s="13">
        <f t="shared" si="0"/>
        <v>6932.942889266606</v>
      </c>
    </row>
    <row r="4" spans="1:15" ht="18.75">
      <c r="A4" s="3" t="s">
        <v>5</v>
      </c>
      <c r="B4" s="13">
        <v>4126</v>
      </c>
      <c r="C4" s="13">
        <v>4191</v>
      </c>
      <c r="D4" s="13">
        <v>4257</v>
      </c>
      <c r="E4" s="13">
        <f aca="true" t="shared" si="1" ref="E4:O4">E5+E6</f>
        <v>1234.2</v>
      </c>
      <c r="F4" s="13">
        <f t="shared" si="1"/>
        <v>1284.2</v>
      </c>
      <c r="G4" s="13">
        <f t="shared" si="1"/>
        <v>1344.2</v>
      </c>
      <c r="H4" s="13">
        <f t="shared" si="1"/>
        <v>1371.0839999999998</v>
      </c>
      <c r="I4" s="13">
        <f t="shared" si="1"/>
        <v>1398.50568</v>
      </c>
      <c r="J4" s="13">
        <f t="shared" si="1"/>
        <v>1426.4757936</v>
      </c>
      <c r="K4" s="13">
        <f t="shared" si="1"/>
        <v>1455.0053094720001</v>
      </c>
      <c r="L4" s="13">
        <f t="shared" si="1"/>
        <v>1484.10541566144</v>
      </c>
      <c r="M4" s="13">
        <f t="shared" si="1"/>
        <v>1513.7875239746688</v>
      </c>
      <c r="N4" s="13">
        <f t="shared" si="1"/>
        <v>1544.0632744541622</v>
      </c>
      <c r="O4" s="13">
        <f t="shared" si="1"/>
        <v>1574.9445399432454</v>
      </c>
    </row>
    <row r="5" spans="1:15" ht="18.75">
      <c r="A5" s="5" t="s">
        <v>6</v>
      </c>
      <c r="B5" s="13">
        <v>4080</v>
      </c>
      <c r="C5" s="13">
        <v>4142</v>
      </c>
      <c r="D5" s="13">
        <v>4200</v>
      </c>
      <c r="E5" s="13">
        <f>E15</f>
        <v>1045</v>
      </c>
      <c r="F5" s="13">
        <f aca="true" t="shared" si="2" ref="F5:O5">F15</f>
        <v>1095</v>
      </c>
      <c r="G5" s="13">
        <f t="shared" si="2"/>
        <v>1155</v>
      </c>
      <c r="H5" s="13">
        <f t="shared" si="2"/>
        <v>1178.1</v>
      </c>
      <c r="I5" s="13">
        <f t="shared" si="2"/>
        <v>1201.662</v>
      </c>
      <c r="J5" s="13">
        <f t="shared" si="2"/>
        <v>1225.69524</v>
      </c>
      <c r="K5" s="13">
        <f t="shared" si="2"/>
        <v>1250.2091448</v>
      </c>
      <c r="L5" s="13">
        <f t="shared" si="2"/>
        <v>1275.213327696</v>
      </c>
      <c r="M5" s="13">
        <f t="shared" si="2"/>
        <v>1300.71759424992</v>
      </c>
      <c r="N5" s="13">
        <f t="shared" si="2"/>
        <v>1326.7319461349184</v>
      </c>
      <c r="O5" s="13">
        <f t="shared" si="2"/>
        <v>1353.2665850576168</v>
      </c>
    </row>
    <row r="6" spans="1:15" ht="18.75">
      <c r="A6" s="5" t="s">
        <v>7</v>
      </c>
      <c r="B6" s="13">
        <v>46</v>
      </c>
      <c r="C6" s="13">
        <v>49</v>
      </c>
      <c r="D6" s="13">
        <v>57</v>
      </c>
      <c r="E6" s="13">
        <f>E26</f>
        <v>189.2</v>
      </c>
      <c r="F6" s="13">
        <f>F26</f>
        <v>189.2</v>
      </c>
      <c r="G6" s="13">
        <f>G26</f>
        <v>189.2</v>
      </c>
      <c r="H6" s="13">
        <f aca="true" t="shared" si="3" ref="H6:O6">H26</f>
        <v>192.98399999999998</v>
      </c>
      <c r="I6" s="13">
        <f t="shared" si="3"/>
        <v>196.84367999999998</v>
      </c>
      <c r="J6" s="13">
        <f t="shared" si="3"/>
        <v>200.7805536</v>
      </c>
      <c r="K6" s="13">
        <f t="shared" si="3"/>
        <v>204.796164672</v>
      </c>
      <c r="L6" s="13">
        <f t="shared" si="3"/>
        <v>208.89208796544</v>
      </c>
      <c r="M6" s="13">
        <f t="shared" si="3"/>
        <v>213.0699297247488</v>
      </c>
      <c r="N6" s="13">
        <f t="shared" si="3"/>
        <v>217.33132831924377</v>
      </c>
      <c r="O6" s="13">
        <f t="shared" si="3"/>
        <v>221.67795488562865</v>
      </c>
    </row>
    <row r="7" spans="1:15" ht="66.75" customHeight="1">
      <c r="A7" s="3" t="s">
        <v>8</v>
      </c>
      <c r="B7" s="14">
        <v>5438.3</v>
      </c>
      <c r="C7" s="14">
        <v>5518.3</v>
      </c>
      <c r="D7" s="14">
        <v>5598.3</v>
      </c>
      <c r="E7" s="13">
        <f>E34</f>
        <v>6354.4</v>
      </c>
      <c r="F7" s="13">
        <f>F34</f>
        <v>4581.9</v>
      </c>
      <c r="G7" s="13">
        <f>G34</f>
        <v>4573</v>
      </c>
      <c r="H7" s="13">
        <f aca="true" t="shared" si="4" ref="H7:O7">H34</f>
        <v>4664.46</v>
      </c>
      <c r="I7" s="13">
        <f t="shared" si="4"/>
        <v>4757.7492</v>
      </c>
      <c r="J7" s="13">
        <f t="shared" si="4"/>
        <v>4852.904184</v>
      </c>
      <c r="K7" s="13">
        <f t="shared" si="4"/>
        <v>4949.96226768</v>
      </c>
      <c r="L7" s="13">
        <f t="shared" si="4"/>
        <v>5048.9615130336</v>
      </c>
      <c r="M7" s="13">
        <f t="shared" si="4"/>
        <v>5149.940743294272</v>
      </c>
      <c r="N7" s="13">
        <f t="shared" si="4"/>
        <v>5252.9395581601575</v>
      </c>
      <c r="O7" s="13">
        <f t="shared" si="4"/>
        <v>5357.99834932336</v>
      </c>
    </row>
    <row r="8" spans="1:15" ht="84.75" customHeight="1">
      <c r="A8" s="2" t="s">
        <v>9</v>
      </c>
      <c r="B8" s="14">
        <v>9564.3</v>
      </c>
      <c r="C8" s="14">
        <v>9709.3</v>
      </c>
      <c r="D8" s="14">
        <v>9855.3</v>
      </c>
      <c r="E8" s="13">
        <f>E41</f>
        <v>7588.599999999999</v>
      </c>
      <c r="F8" s="13">
        <f aca="true" t="shared" si="5" ref="F8:O8">F41</f>
        <v>5866.1</v>
      </c>
      <c r="G8" s="13">
        <f t="shared" si="5"/>
        <v>5917.2</v>
      </c>
      <c r="H8" s="13">
        <f t="shared" si="5"/>
        <v>6663.6</v>
      </c>
      <c r="I8" s="13">
        <f t="shared" si="5"/>
        <v>6796.8</v>
      </c>
      <c r="J8" s="13">
        <f t="shared" si="5"/>
        <v>6932.8</v>
      </c>
      <c r="K8" s="13">
        <f t="shared" si="5"/>
        <v>7071.4</v>
      </c>
      <c r="L8" s="13">
        <f t="shared" si="5"/>
        <v>7212.8</v>
      </c>
      <c r="M8" s="13">
        <f t="shared" si="5"/>
        <v>7357.1</v>
      </c>
      <c r="N8" s="13">
        <f t="shared" si="5"/>
        <v>7504.200000000001</v>
      </c>
      <c r="O8" s="13">
        <f t="shared" si="5"/>
        <v>7654.3</v>
      </c>
    </row>
    <row r="9" spans="1:15" s="50" customFormat="1" ht="18.75">
      <c r="A9" s="48" t="s">
        <v>10</v>
      </c>
      <c r="B9" s="49">
        <v>0</v>
      </c>
      <c r="C9" s="49">
        <v>0</v>
      </c>
      <c r="D9" s="49">
        <v>0</v>
      </c>
      <c r="E9" s="49">
        <f>E3-E41</f>
        <v>0</v>
      </c>
      <c r="F9" s="49">
        <f aca="true" t="shared" si="6" ref="F9:O9">F3-F41</f>
        <v>0</v>
      </c>
      <c r="G9" s="49">
        <f t="shared" si="6"/>
        <v>0</v>
      </c>
      <c r="H9" s="49">
        <f>H3-H41</f>
        <v>-628.0560000000005</v>
      </c>
      <c r="I9" s="49">
        <f t="shared" si="6"/>
        <v>-640.5451199999998</v>
      </c>
      <c r="J9" s="49">
        <f t="shared" si="6"/>
        <v>-653.4200224000006</v>
      </c>
      <c r="K9" s="49">
        <f t="shared" si="6"/>
        <v>-666.432422848</v>
      </c>
      <c r="L9" s="49">
        <f t="shared" si="6"/>
        <v>-679.7330713049605</v>
      </c>
      <c r="M9" s="49">
        <f t="shared" si="6"/>
        <v>-693.3717327310596</v>
      </c>
      <c r="N9" s="49">
        <f t="shared" si="6"/>
        <v>-707.1971673856806</v>
      </c>
      <c r="O9" s="49">
        <f t="shared" si="6"/>
        <v>-721.3571107333946</v>
      </c>
    </row>
    <row r="10" spans="1:15" ht="18.75">
      <c r="A10" s="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  <c r="M12" s="1" t="s">
        <v>85</v>
      </c>
      <c r="N12" s="1" t="s">
        <v>83</v>
      </c>
      <c r="O12" s="1" t="s">
        <v>84</v>
      </c>
    </row>
    <row r="13" spans="1:15" ht="75">
      <c r="A13" s="6" t="s">
        <v>23</v>
      </c>
      <c r="B13" s="13">
        <f aca="true" t="shared" si="7" ref="B13:G13">B14+B34</f>
        <v>9564.3</v>
      </c>
      <c r="C13" s="13">
        <f t="shared" si="7"/>
        <v>9709.3</v>
      </c>
      <c r="D13" s="13">
        <f t="shared" si="7"/>
        <v>9855.3</v>
      </c>
      <c r="E13" s="13">
        <f t="shared" si="7"/>
        <v>7588.599999999999</v>
      </c>
      <c r="F13" s="13">
        <f t="shared" si="7"/>
        <v>5866.099999999999</v>
      </c>
      <c r="G13" s="13">
        <f t="shared" si="7"/>
        <v>5917.2</v>
      </c>
      <c r="H13" s="13">
        <f>G13*1.02</f>
        <v>6035.544</v>
      </c>
      <c r="I13" s="13">
        <f aca="true" t="shared" si="8" ref="I13:O13">H13*1.02</f>
        <v>6156.25488</v>
      </c>
      <c r="J13" s="13">
        <f t="shared" si="8"/>
        <v>6279.3799776000005</v>
      </c>
      <c r="K13" s="13">
        <f t="shared" si="8"/>
        <v>6404.967577152001</v>
      </c>
      <c r="L13" s="13">
        <f t="shared" si="8"/>
        <v>6533.066928695041</v>
      </c>
      <c r="M13" s="13">
        <f t="shared" si="8"/>
        <v>6663.728267268942</v>
      </c>
      <c r="N13" s="13">
        <f t="shared" si="8"/>
        <v>6797.00283261432</v>
      </c>
      <c r="O13" s="13">
        <f t="shared" si="8"/>
        <v>6932.9428892666065</v>
      </c>
    </row>
    <row r="14" spans="1:15" ht="37.5">
      <c r="A14" s="6" t="s">
        <v>24</v>
      </c>
      <c r="B14" s="13">
        <f aca="true" t="shared" si="9" ref="B14:G14">B15+B26</f>
        <v>4126</v>
      </c>
      <c r="C14" s="13">
        <f t="shared" si="9"/>
        <v>4191</v>
      </c>
      <c r="D14" s="13">
        <f t="shared" si="9"/>
        <v>4257</v>
      </c>
      <c r="E14" s="13">
        <f t="shared" si="9"/>
        <v>1234.2</v>
      </c>
      <c r="F14" s="13">
        <f t="shared" si="9"/>
        <v>1284.2</v>
      </c>
      <c r="G14" s="13">
        <f t="shared" si="9"/>
        <v>1344.2</v>
      </c>
      <c r="H14" s="13">
        <f aca="true" t="shared" si="10" ref="H14:O38">G14*1.02</f>
        <v>1371.084</v>
      </c>
      <c r="I14" s="13">
        <f t="shared" si="10"/>
        <v>1398.50568</v>
      </c>
      <c r="J14" s="13">
        <f t="shared" si="10"/>
        <v>1426.4757936</v>
      </c>
      <c r="K14" s="13">
        <f t="shared" si="10"/>
        <v>1455.0053094720001</v>
      </c>
      <c r="L14" s="13">
        <f t="shared" si="10"/>
        <v>1484.1054156614402</v>
      </c>
      <c r="M14" s="13">
        <f t="shared" si="10"/>
        <v>1513.787523974669</v>
      </c>
      <c r="N14" s="13">
        <f t="shared" si="10"/>
        <v>1544.0632744541624</v>
      </c>
      <c r="O14" s="13">
        <f t="shared" si="10"/>
        <v>1574.9445399432457</v>
      </c>
    </row>
    <row r="15" spans="1:15" ht="19.5">
      <c r="A15" s="7" t="s">
        <v>25</v>
      </c>
      <c r="B15" s="13">
        <f>B16+B17+B18+B19+B20+B21+B22+B23+B24+B25</f>
        <v>4080</v>
      </c>
      <c r="C15" s="13">
        <f>C16+C17+C18+C19+C20+C21+C22+C23+C24+C25</f>
        <v>4142</v>
      </c>
      <c r="D15" s="13">
        <f>D16+D17+D18+D19+D20+D21+D22+D23+D24+D25</f>
        <v>4200</v>
      </c>
      <c r="E15" s="13">
        <f>E16+E17+E19+E21+E22</f>
        <v>1045</v>
      </c>
      <c r="F15" s="13">
        <f>F16+F17+F19+F21+F22</f>
        <v>1095</v>
      </c>
      <c r="G15" s="13">
        <f>G16+G17+G19+G21+G22</f>
        <v>1155</v>
      </c>
      <c r="H15" s="13">
        <f t="shared" si="10"/>
        <v>1178.1</v>
      </c>
      <c r="I15" s="13">
        <f t="shared" si="10"/>
        <v>1201.662</v>
      </c>
      <c r="J15" s="13">
        <f t="shared" si="10"/>
        <v>1225.69524</v>
      </c>
      <c r="K15" s="13">
        <f t="shared" si="10"/>
        <v>1250.2091448</v>
      </c>
      <c r="L15" s="13">
        <f t="shared" si="10"/>
        <v>1275.213327696</v>
      </c>
      <c r="M15" s="13">
        <f t="shared" si="10"/>
        <v>1300.71759424992</v>
      </c>
      <c r="N15" s="13">
        <f t="shared" si="10"/>
        <v>1326.7319461349184</v>
      </c>
      <c r="O15" s="13">
        <f t="shared" si="10"/>
        <v>1353.2665850576168</v>
      </c>
    </row>
    <row r="16" spans="1:15" ht="18.75">
      <c r="A16" s="8" t="s">
        <v>26</v>
      </c>
      <c r="B16" s="13">
        <v>3000</v>
      </c>
      <c r="C16" s="13">
        <v>3050</v>
      </c>
      <c r="D16" s="13">
        <v>3100</v>
      </c>
      <c r="E16" s="13">
        <v>520</v>
      </c>
      <c r="F16" s="13">
        <v>540</v>
      </c>
      <c r="G16" s="13">
        <v>560</v>
      </c>
      <c r="H16" s="13">
        <f t="shared" si="10"/>
        <v>571.2</v>
      </c>
      <c r="I16" s="13">
        <f t="shared" si="10"/>
        <v>582.624</v>
      </c>
      <c r="J16" s="13">
        <f t="shared" si="10"/>
        <v>594.27648</v>
      </c>
      <c r="K16" s="13">
        <f t="shared" si="10"/>
        <v>606.1620096</v>
      </c>
      <c r="L16" s="13">
        <f t="shared" si="10"/>
        <v>618.2852497920001</v>
      </c>
      <c r="M16" s="13">
        <f t="shared" si="10"/>
        <v>630.6509547878401</v>
      </c>
      <c r="N16" s="13">
        <f t="shared" si="10"/>
        <v>643.2639738835969</v>
      </c>
      <c r="O16" s="13">
        <f t="shared" si="10"/>
        <v>656.1292533612689</v>
      </c>
    </row>
    <row r="17" spans="1:15" ht="56.25">
      <c r="A17" s="8" t="s">
        <v>27</v>
      </c>
      <c r="B17" s="13">
        <v>680</v>
      </c>
      <c r="C17" s="13">
        <v>687</v>
      </c>
      <c r="D17" s="13">
        <v>690</v>
      </c>
      <c r="E17" s="13">
        <v>0</v>
      </c>
      <c r="F17" s="13">
        <v>0</v>
      </c>
      <c r="G17" s="13">
        <v>0</v>
      </c>
      <c r="H17" s="13">
        <f t="shared" si="10"/>
        <v>0</v>
      </c>
      <c r="I17" s="13">
        <f t="shared" si="10"/>
        <v>0</v>
      </c>
      <c r="J17" s="13">
        <f t="shared" si="10"/>
        <v>0</v>
      </c>
      <c r="K17" s="13">
        <f t="shared" si="10"/>
        <v>0</v>
      </c>
      <c r="L17" s="13">
        <f t="shared" si="10"/>
        <v>0</v>
      </c>
      <c r="M17" s="13">
        <f t="shared" si="10"/>
        <v>0</v>
      </c>
      <c r="N17" s="13">
        <f t="shared" si="10"/>
        <v>0</v>
      </c>
      <c r="O17" s="13">
        <f t="shared" si="10"/>
        <v>0</v>
      </c>
    </row>
    <row r="18" spans="1:15" ht="37.5">
      <c r="A18" s="8" t="s">
        <v>28</v>
      </c>
      <c r="B18" s="14"/>
      <c r="C18" s="14"/>
      <c r="D18" s="14"/>
      <c r="E18" s="13">
        <v>0</v>
      </c>
      <c r="F18" s="13">
        <v>0</v>
      </c>
      <c r="G18" s="13">
        <v>0</v>
      </c>
      <c r="H18" s="13">
        <f t="shared" si="10"/>
        <v>0</v>
      </c>
      <c r="I18" s="13">
        <f t="shared" si="10"/>
        <v>0</v>
      </c>
      <c r="J18" s="13">
        <f t="shared" si="10"/>
        <v>0</v>
      </c>
      <c r="K18" s="13">
        <f t="shared" si="10"/>
        <v>0</v>
      </c>
      <c r="L18" s="13">
        <f t="shared" si="10"/>
        <v>0</v>
      </c>
      <c r="M18" s="13">
        <f t="shared" si="10"/>
        <v>0</v>
      </c>
      <c r="N18" s="13">
        <f t="shared" si="10"/>
        <v>0</v>
      </c>
      <c r="O18" s="13">
        <f t="shared" si="10"/>
        <v>0</v>
      </c>
    </row>
    <row r="19" spans="1:15" ht="37.5">
      <c r="A19" s="8" t="s">
        <v>29</v>
      </c>
      <c r="B19" s="14"/>
      <c r="C19" s="14"/>
      <c r="D19" s="14"/>
      <c r="E19" s="13">
        <v>50</v>
      </c>
      <c r="F19" s="13">
        <v>60</v>
      </c>
      <c r="G19" s="13">
        <v>70</v>
      </c>
      <c r="H19" s="13">
        <f t="shared" si="10"/>
        <v>71.4</v>
      </c>
      <c r="I19" s="13">
        <f t="shared" si="10"/>
        <v>72.828</v>
      </c>
      <c r="J19" s="13">
        <f t="shared" si="10"/>
        <v>74.28456</v>
      </c>
      <c r="K19" s="13">
        <f t="shared" si="10"/>
        <v>75.7702512</v>
      </c>
      <c r="L19" s="13">
        <f t="shared" si="10"/>
        <v>77.28565622400001</v>
      </c>
      <c r="M19" s="13">
        <f t="shared" si="10"/>
        <v>78.83136934848001</v>
      </c>
      <c r="N19" s="13">
        <f t="shared" si="10"/>
        <v>80.40799673544961</v>
      </c>
      <c r="O19" s="13">
        <f t="shared" si="10"/>
        <v>82.01615667015861</v>
      </c>
    </row>
    <row r="20" spans="1:15" ht="56.25">
      <c r="A20" s="8" t="s">
        <v>30</v>
      </c>
      <c r="B20" s="14"/>
      <c r="C20" s="14"/>
      <c r="D20" s="14"/>
      <c r="E20" s="13">
        <v>0</v>
      </c>
      <c r="F20" s="13">
        <v>0</v>
      </c>
      <c r="G20" s="13">
        <v>0</v>
      </c>
      <c r="H20" s="13">
        <f t="shared" si="10"/>
        <v>0</v>
      </c>
      <c r="I20" s="13">
        <f t="shared" si="10"/>
        <v>0</v>
      </c>
      <c r="J20" s="13">
        <f t="shared" si="10"/>
        <v>0</v>
      </c>
      <c r="K20" s="13">
        <f t="shared" si="10"/>
        <v>0</v>
      </c>
      <c r="L20" s="13">
        <f t="shared" si="10"/>
        <v>0</v>
      </c>
      <c r="M20" s="13">
        <f t="shared" si="10"/>
        <v>0</v>
      </c>
      <c r="N20" s="13">
        <f t="shared" si="10"/>
        <v>0</v>
      </c>
      <c r="O20" s="13">
        <f t="shared" si="10"/>
        <v>0</v>
      </c>
    </row>
    <row r="21" spans="1:15" ht="37.5">
      <c r="A21" s="8" t="s">
        <v>31</v>
      </c>
      <c r="B21" s="13">
        <v>30</v>
      </c>
      <c r="C21" s="13">
        <v>32</v>
      </c>
      <c r="D21" s="13">
        <v>35</v>
      </c>
      <c r="E21" s="13">
        <v>20</v>
      </c>
      <c r="F21" s="13">
        <v>30</v>
      </c>
      <c r="G21" s="13">
        <v>50</v>
      </c>
      <c r="H21" s="13">
        <f t="shared" si="10"/>
        <v>51</v>
      </c>
      <c r="I21" s="13">
        <f t="shared" si="10"/>
        <v>52.02</v>
      </c>
      <c r="J21" s="13">
        <f t="shared" si="10"/>
        <v>53.0604</v>
      </c>
      <c r="K21" s="13">
        <f t="shared" si="10"/>
        <v>54.121608</v>
      </c>
      <c r="L21" s="13">
        <f t="shared" si="10"/>
        <v>55.204040160000005</v>
      </c>
      <c r="M21" s="13">
        <f t="shared" si="10"/>
        <v>56.308120963200004</v>
      </c>
      <c r="N21" s="13">
        <f t="shared" si="10"/>
        <v>57.434283382464</v>
      </c>
      <c r="O21" s="13">
        <f t="shared" si="10"/>
        <v>58.582969050113284</v>
      </c>
    </row>
    <row r="22" spans="1:15" ht="18.75">
      <c r="A22" s="8" t="s">
        <v>32</v>
      </c>
      <c r="B22" s="13">
        <v>370</v>
      </c>
      <c r="C22" s="13">
        <v>373</v>
      </c>
      <c r="D22" s="13">
        <v>375</v>
      </c>
      <c r="E22" s="13">
        <v>455</v>
      </c>
      <c r="F22" s="13">
        <v>465</v>
      </c>
      <c r="G22" s="13">
        <v>475</v>
      </c>
      <c r="H22" s="13">
        <f t="shared" si="10"/>
        <v>484.5</v>
      </c>
      <c r="I22" s="13">
        <f t="shared" si="10"/>
        <v>494.19</v>
      </c>
      <c r="J22" s="13">
        <f t="shared" si="10"/>
        <v>504.0738</v>
      </c>
      <c r="K22" s="13">
        <f t="shared" si="10"/>
        <v>514.155276</v>
      </c>
      <c r="L22" s="13">
        <f t="shared" si="10"/>
        <v>524.43838152</v>
      </c>
      <c r="M22" s="13">
        <f t="shared" si="10"/>
        <v>534.9271491504</v>
      </c>
      <c r="N22" s="13">
        <f t="shared" si="10"/>
        <v>545.625692133408</v>
      </c>
      <c r="O22" s="13">
        <f t="shared" si="10"/>
        <v>556.5382059760763</v>
      </c>
    </row>
    <row r="23" spans="1:15" ht="56.25">
      <c r="A23" s="8" t="s">
        <v>33</v>
      </c>
      <c r="B23" s="14"/>
      <c r="C23" s="14"/>
      <c r="D23" s="14"/>
      <c r="E23" s="13">
        <v>0</v>
      </c>
      <c r="F23" s="13">
        <v>0</v>
      </c>
      <c r="G23" s="13">
        <v>0</v>
      </c>
      <c r="H23" s="13">
        <f t="shared" si="10"/>
        <v>0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3">
        <f t="shared" si="10"/>
        <v>0</v>
      </c>
      <c r="O23" s="13">
        <f t="shared" si="10"/>
        <v>0</v>
      </c>
    </row>
    <row r="24" spans="1:15" ht="18.75">
      <c r="A24" s="8" t="s">
        <v>34</v>
      </c>
      <c r="B24" s="14"/>
      <c r="C24" s="14"/>
      <c r="D24" s="14"/>
      <c r="E24" s="13">
        <v>0</v>
      </c>
      <c r="F24" s="13">
        <v>0</v>
      </c>
      <c r="G24" s="13">
        <v>0</v>
      </c>
      <c r="H24" s="13">
        <f t="shared" si="10"/>
        <v>0</v>
      </c>
      <c r="I24" s="13">
        <f t="shared" si="10"/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</row>
    <row r="25" spans="1:15" ht="56.25">
      <c r="A25" s="8" t="s">
        <v>35</v>
      </c>
      <c r="B25" s="14"/>
      <c r="C25" s="14"/>
      <c r="D25" s="14"/>
      <c r="E25" s="13">
        <v>0</v>
      </c>
      <c r="F25" s="13">
        <v>0</v>
      </c>
      <c r="G25" s="13">
        <v>0</v>
      </c>
      <c r="H25" s="13">
        <f t="shared" si="10"/>
        <v>0</v>
      </c>
      <c r="I25" s="13">
        <f t="shared" si="10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3">
        <f t="shared" si="10"/>
        <v>0</v>
      </c>
      <c r="O25" s="13">
        <f t="shared" si="10"/>
        <v>0</v>
      </c>
    </row>
    <row r="26" spans="1:15" ht="19.5">
      <c r="A26" s="7" t="s">
        <v>36</v>
      </c>
      <c r="B26" s="13">
        <f aca="true" t="shared" si="11" ref="B26:G26">B27+B28+B29+B30+B31+B32+B33</f>
        <v>46</v>
      </c>
      <c r="C26" s="13">
        <f t="shared" si="11"/>
        <v>49</v>
      </c>
      <c r="D26" s="13">
        <f t="shared" si="11"/>
        <v>57</v>
      </c>
      <c r="E26" s="13">
        <f t="shared" si="11"/>
        <v>189.2</v>
      </c>
      <c r="F26" s="13">
        <f t="shared" si="11"/>
        <v>189.2</v>
      </c>
      <c r="G26" s="13">
        <f t="shared" si="11"/>
        <v>189.2</v>
      </c>
      <c r="H26" s="13">
        <f t="shared" si="10"/>
        <v>192.98399999999998</v>
      </c>
      <c r="I26" s="13">
        <f t="shared" si="10"/>
        <v>196.84367999999998</v>
      </c>
      <c r="J26" s="13">
        <f t="shared" si="10"/>
        <v>200.7805536</v>
      </c>
      <c r="K26" s="13">
        <f t="shared" si="10"/>
        <v>204.796164672</v>
      </c>
      <c r="L26" s="13">
        <f t="shared" si="10"/>
        <v>208.89208796544</v>
      </c>
      <c r="M26" s="13">
        <f t="shared" si="10"/>
        <v>213.0699297247488</v>
      </c>
      <c r="N26" s="13">
        <f t="shared" si="10"/>
        <v>217.33132831924377</v>
      </c>
      <c r="O26" s="13">
        <f t="shared" si="10"/>
        <v>221.67795488562865</v>
      </c>
    </row>
    <row r="27" spans="1:15" ht="75">
      <c r="A27" s="8" t="s">
        <v>37</v>
      </c>
      <c r="B27" s="13">
        <v>34</v>
      </c>
      <c r="C27" s="13">
        <v>37</v>
      </c>
      <c r="D27" s="13">
        <v>45</v>
      </c>
      <c r="E27" s="13">
        <v>180.5</v>
      </c>
      <c r="F27" s="13">
        <v>180.5</v>
      </c>
      <c r="G27" s="13">
        <v>180.5</v>
      </c>
      <c r="H27" s="13">
        <f t="shared" si="10"/>
        <v>184.11</v>
      </c>
      <c r="I27" s="13">
        <f t="shared" si="10"/>
        <v>187.7922</v>
      </c>
      <c r="J27" s="13">
        <f t="shared" si="10"/>
        <v>191.548044</v>
      </c>
      <c r="K27" s="13">
        <f t="shared" si="10"/>
        <v>195.37900488</v>
      </c>
      <c r="L27" s="13">
        <f t="shared" si="10"/>
        <v>199.2865849776</v>
      </c>
      <c r="M27" s="13">
        <f t="shared" si="10"/>
        <v>203.272316677152</v>
      </c>
      <c r="N27" s="13">
        <f t="shared" si="10"/>
        <v>207.33776301069503</v>
      </c>
      <c r="O27" s="13">
        <f t="shared" si="10"/>
        <v>211.48451827090892</v>
      </c>
    </row>
    <row r="28" spans="1:15" ht="37.5">
      <c r="A28" s="8" t="s">
        <v>38</v>
      </c>
      <c r="B28" s="14"/>
      <c r="C28" s="14"/>
      <c r="D28" s="14"/>
      <c r="E28" s="13">
        <v>0</v>
      </c>
      <c r="F28" s="13">
        <v>0</v>
      </c>
      <c r="G28" s="13">
        <v>0</v>
      </c>
      <c r="H28" s="13">
        <f t="shared" si="10"/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 t="shared" si="10"/>
        <v>0</v>
      </c>
      <c r="O28" s="13">
        <f t="shared" si="10"/>
        <v>0</v>
      </c>
    </row>
    <row r="29" spans="1:15" ht="56.25">
      <c r="A29" s="8" t="s">
        <v>39</v>
      </c>
      <c r="B29" s="13">
        <v>12</v>
      </c>
      <c r="C29" s="13">
        <v>12</v>
      </c>
      <c r="D29" s="13">
        <v>12</v>
      </c>
      <c r="E29" s="13">
        <v>8.7</v>
      </c>
      <c r="F29" s="13">
        <v>8.7</v>
      </c>
      <c r="G29" s="13">
        <v>8.7</v>
      </c>
      <c r="H29" s="13">
        <f t="shared" si="10"/>
        <v>8.873999999999999</v>
      </c>
      <c r="I29" s="13">
        <f t="shared" si="10"/>
        <v>9.05148</v>
      </c>
      <c r="J29" s="13">
        <f t="shared" si="10"/>
        <v>9.2325096</v>
      </c>
      <c r="K29" s="13">
        <f t="shared" si="10"/>
        <v>9.417159792</v>
      </c>
      <c r="L29" s="13">
        <f t="shared" si="10"/>
        <v>9.60550298784</v>
      </c>
      <c r="M29" s="13">
        <f t="shared" si="10"/>
        <v>9.7976130475968</v>
      </c>
      <c r="N29" s="13">
        <f t="shared" si="10"/>
        <v>9.993565308548735</v>
      </c>
      <c r="O29" s="13">
        <f t="shared" si="10"/>
        <v>10.19343661471971</v>
      </c>
    </row>
    <row r="30" spans="1:15" ht="37.5">
      <c r="A30" s="8" t="s">
        <v>40</v>
      </c>
      <c r="B30" s="14"/>
      <c r="C30" s="14"/>
      <c r="D30" s="14"/>
      <c r="E30" s="13">
        <v>0</v>
      </c>
      <c r="F30" s="13">
        <v>0</v>
      </c>
      <c r="G30" s="13">
        <v>0</v>
      </c>
      <c r="H30" s="13">
        <f t="shared" si="10"/>
        <v>0</v>
      </c>
      <c r="I30" s="13">
        <f t="shared" si="10"/>
        <v>0</v>
      </c>
      <c r="J30" s="13">
        <f t="shared" si="10"/>
        <v>0</v>
      </c>
      <c r="K30" s="13">
        <f t="shared" si="10"/>
        <v>0</v>
      </c>
      <c r="L30" s="13">
        <f t="shared" si="10"/>
        <v>0</v>
      </c>
      <c r="M30" s="13">
        <f t="shared" si="10"/>
        <v>0</v>
      </c>
      <c r="N30" s="13">
        <f t="shared" si="10"/>
        <v>0</v>
      </c>
      <c r="O30" s="13">
        <f t="shared" si="10"/>
        <v>0</v>
      </c>
    </row>
    <row r="31" spans="1:15" ht="37.5">
      <c r="A31" s="8" t="s">
        <v>41</v>
      </c>
      <c r="B31" s="14"/>
      <c r="C31" s="14"/>
      <c r="D31" s="14"/>
      <c r="E31" s="13">
        <v>0</v>
      </c>
      <c r="F31" s="13">
        <v>0</v>
      </c>
      <c r="G31" s="13"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>
        <f t="shared" si="10"/>
        <v>0</v>
      </c>
    </row>
    <row r="32" spans="1:15" ht="37.5">
      <c r="A32" s="8" t="s">
        <v>42</v>
      </c>
      <c r="B32" s="14"/>
      <c r="C32" s="14"/>
      <c r="D32" s="14"/>
      <c r="E32" s="13">
        <v>0</v>
      </c>
      <c r="F32" s="13">
        <v>0</v>
      </c>
      <c r="G32" s="13">
        <v>0</v>
      </c>
      <c r="H32" s="13">
        <f t="shared" si="10"/>
        <v>0</v>
      </c>
      <c r="I32" s="13">
        <f t="shared" si="10"/>
        <v>0</v>
      </c>
      <c r="J32" s="13">
        <f t="shared" si="10"/>
        <v>0</v>
      </c>
      <c r="K32" s="13">
        <f t="shared" si="10"/>
        <v>0</v>
      </c>
      <c r="L32" s="13">
        <f t="shared" si="10"/>
        <v>0</v>
      </c>
      <c r="M32" s="13">
        <f t="shared" si="10"/>
        <v>0</v>
      </c>
      <c r="N32" s="13">
        <f t="shared" si="10"/>
        <v>0</v>
      </c>
      <c r="O32" s="13">
        <f t="shared" si="10"/>
        <v>0</v>
      </c>
    </row>
    <row r="33" spans="1:15" ht="18.75">
      <c r="A33" s="8" t="s">
        <v>43</v>
      </c>
      <c r="B33" s="14"/>
      <c r="C33" s="14"/>
      <c r="D33" s="14"/>
      <c r="E33" s="13">
        <v>0</v>
      </c>
      <c r="F33" s="13">
        <v>0</v>
      </c>
      <c r="G33" s="13"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</row>
    <row r="34" spans="1:15" ht="75">
      <c r="A34" s="6" t="s">
        <v>44</v>
      </c>
      <c r="B34" s="13">
        <f aca="true" t="shared" si="12" ref="B34:G34">B35+B36+B37+B38</f>
        <v>5438.3</v>
      </c>
      <c r="C34" s="13">
        <f t="shared" si="12"/>
        <v>5518.3</v>
      </c>
      <c r="D34" s="13">
        <f t="shared" si="12"/>
        <v>5598.3</v>
      </c>
      <c r="E34" s="13">
        <f t="shared" si="12"/>
        <v>6354.4</v>
      </c>
      <c r="F34" s="13">
        <f t="shared" si="12"/>
        <v>4581.9</v>
      </c>
      <c r="G34" s="13">
        <f t="shared" si="12"/>
        <v>4573</v>
      </c>
      <c r="H34" s="13">
        <f t="shared" si="10"/>
        <v>4664.46</v>
      </c>
      <c r="I34" s="13">
        <f t="shared" si="10"/>
        <v>4757.7492</v>
      </c>
      <c r="J34" s="13">
        <f t="shared" si="10"/>
        <v>4852.904184</v>
      </c>
      <c r="K34" s="13">
        <f t="shared" si="10"/>
        <v>4949.96226768</v>
      </c>
      <c r="L34" s="13">
        <f t="shared" si="10"/>
        <v>5048.9615130336</v>
      </c>
      <c r="M34" s="13">
        <f t="shared" si="10"/>
        <v>5149.940743294272</v>
      </c>
      <c r="N34" s="13">
        <f t="shared" si="10"/>
        <v>5252.9395581601575</v>
      </c>
      <c r="O34" s="13">
        <f t="shared" si="10"/>
        <v>5357.99834932336</v>
      </c>
    </row>
    <row r="35" spans="1:15" ht="18.75">
      <c r="A35" s="8" t="s">
        <v>45</v>
      </c>
      <c r="B35" s="13">
        <v>5260</v>
      </c>
      <c r="C35" s="13">
        <v>5340</v>
      </c>
      <c r="D35" s="13">
        <v>5420</v>
      </c>
      <c r="E35" s="13">
        <v>6354.4</v>
      </c>
      <c r="F35" s="13">
        <v>4581.9</v>
      </c>
      <c r="G35" s="13">
        <v>4573</v>
      </c>
      <c r="H35" s="13">
        <f t="shared" si="10"/>
        <v>4664.46</v>
      </c>
      <c r="I35" s="13">
        <f t="shared" si="10"/>
        <v>4757.7492</v>
      </c>
      <c r="J35" s="13">
        <f t="shared" si="10"/>
        <v>4852.904184</v>
      </c>
      <c r="K35" s="13">
        <f t="shared" si="10"/>
        <v>4949.96226768</v>
      </c>
      <c r="L35" s="13">
        <f t="shared" si="10"/>
        <v>5048.9615130336</v>
      </c>
      <c r="M35" s="13">
        <f t="shared" si="10"/>
        <v>5149.940743294272</v>
      </c>
      <c r="N35" s="13">
        <f t="shared" si="10"/>
        <v>5252.9395581601575</v>
      </c>
      <c r="O35" s="13">
        <f t="shared" si="10"/>
        <v>5357.99834932336</v>
      </c>
    </row>
    <row r="36" spans="1:15" ht="56.25">
      <c r="A36" s="8" t="s">
        <v>46</v>
      </c>
      <c r="B36" s="14"/>
      <c r="C36" s="14"/>
      <c r="D36" s="14"/>
      <c r="E36" s="13">
        <v>0</v>
      </c>
      <c r="F36" s="13">
        <v>0</v>
      </c>
      <c r="G36" s="13">
        <v>0</v>
      </c>
      <c r="H36" s="13">
        <f t="shared" si="10"/>
        <v>0</v>
      </c>
      <c r="I36" s="13">
        <f t="shared" si="10"/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13">
        <f t="shared" si="10"/>
        <v>0</v>
      </c>
      <c r="O36" s="13">
        <f t="shared" si="10"/>
        <v>0</v>
      </c>
    </row>
    <row r="37" spans="1:15" ht="37.5">
      <c r="A37" s="8" t="s">
        <v>47</v>
      </c>
      <c r="B37" s="14"/>
      <c r="C37" s="14"/>
      <c r="D37" s="14"/>
      <c r="E37" s="13">
        <v>0</v>
      </c>
      <c r="F37" s="13">
        <v>0</v>
      </c>
      <c r="G37" s="13">
        <v>0</v>
      </c>
      <c r="H37" s="13">
        <f t="shared" si="10"/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</row>
    <row r="38" spans="1:15" ht="37.5">
      <c r="A38" s="8" t="s">
        <v>48</v>
      </c>
      <c r="B38" s="14">
        <v>178.3</v>
      </c>
      <c r="C38" s="14">
        <v>178.3</v>
      </c>
      <c r="D38" s="14">
        <v>178.3</v>
      </c>
      <c r="E38" s="13">
        <v>0</v>
      </c>
      <c r="F38" s="13">
        <v>0</v>
      </c>
      <c r="G38" s="13"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  <c r="M40" s="1" t="s">
        <v>85</v>
      </c>
      <c r="N40" s="1" t="s">
        <v>83</v>
      </c>
      <c r="O40" s="1" t="s">
        <v>84</v>
      </c>
    </row>
    <row r="41" spans="1:15" ht="93.75">
      <c r="A41" s="6" t="s">
        <v>49</v>
      </c>
      <c r="B41" s="13">
        <f>B43+B44+B45+B46+B47+B48+B49+B50+B51+B52+B53+B54+B55+B56</f>
        <v>9564.3</v>
      </c>
      <c r="C41" s="13">
        <f>C43+C44+C45+C46+C47+C48+C49+C50+C51+C52+C53+C54+C55+C56</f>
        <v>9709.3</v>
      </c>
      <c r="D41" s="13">
        <f>D43+D44+D45+D46+D47+D48+D49+D50+D51+D52+D53+D54+D55+D56</f>
        <v>9855.3</v>
      </c>
      <c r="E41" s="13">
        <f>SUM(E43:E52)</f>
        <v>7588.599999999999</v>
      </c>
      <c r="F41" s="13">
        <f aca="true" t="shared" si="13" ref="F41:O41">SUM(F43:F52)</f>
        <v>5866.1</v>
      </c>
      <c r="G41" s="13">
        <f t="shared" si="13"/>
        <v>5917.2</v>
      </c>
      <c r="H41" s="13">
        <f t="shared" si="13"/>
        <v>6663.6</v>
      </c>
      <c r="I41" s="13">
        <f t="shared" si="13"/>
        <v>6796.8</v>
      </c>
      <c r="J41" s="13">
        <f t="shared" si="13"/>
        <v>6932.8</v>
      </c>
      <c r="K41" s="13">
        <f t="shared" si="13"/>
        <v>7071.4</v>
      </c>
      <c r="L41" s="13">
        <f t="shared" si="13"/>
        <v>7212.8</v>
      </c>
      <c r="M41" s="13">
        <f t="shared" si="13"/>
        <v>7357.1</v>
      </c>
      <c r="N41" s="13">
        <f t="shared" si="13"/>
        <v>7504.200000000001</v>
      </c>
      <c r="O41" s="13">
        <f t="shared" si="13"/>
        <v>7654.3</v>
      </c>
    </row>
    <row r="42" spans="1:15" ht="18.75">
      <c r="A42" s="8" t="s">
        <v>50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8.75">
      <c r="A43" s="8" t="s">
        <v>51</v>
      </c>
      <c r="B43" s="14">
        <v>3291.3</v>
      </c>
      <c r="C43" s="14">
        <v>3343.3</v>
      </c>
      <c r="D43" s="14">
        <v>3393.3</v>
      </c>
      <c r="E43" s="51">
        <v>3635.9</v>
      </c>
      <c r="F43" s="49">
        <v>3635.9</v>
      </c>
      <c r="G43" s="51">
        <v>3635.9</v>
      </c>
      <c r="H43" s="14">
        <v>3571.3</v>
      </c>
      <c r="I43" s="14">
        <v>3615.3</v>
      </c>
      <c r="J43" s="14">
        <v>3660.3</v>
      </c>
      <c r="K43" s="14">
        <v>3706.3</v>
      </c>
      <c r="L43" s="14">
        <v>3750.3</v>
      </c>
      <c r="M43" s="14">
        <v>3790.3</v>
      </c>
      <c r="N43" s="14">
        <v>3835.3</v>
      </c>
      <c r="O43" s="14">
        <v>3886.3</v>
      </c>
    </row>
    <row r="44" spans="1:15" ht="18.75">
      <c r="A44" s="8" t="s">
        <v>52</v>
      </c>
      <c r="B44" s="14"/>
      <c r="C44" s="14"/>
      <c r="D44" s="14"/>
      <c r="E44" s="51"/>
      <c r="F44" s="51"/>
      <c r="G44" s="51"/>
      <c r="H44" s="14"/>
      <c r="I44" s="14"/>
      <c r="J44" s="14"/>
      <c r="K44" s="14"/>
      <c r="L44" s="14"/>
      <c r="M44" s="14"/>
      <c r="N44" s="14"/>
      <c r="O44" s="14"/>
    </row>
    <row r="45" spans="1:15" ht="37.5">
      <c r="A45" s="8" t="s">
        <v>53</v>
      </c>
      <c r="B45" s="14"/>
      <c r="C45" s="14"/>
      <c r="D45" s="14"/>
      <c r="E45" s="51"/>
      <c r="F45" s="51"/>
      <c r="G45" s="51"/>
      <c r="H45" s="14"/>
      <c r="I45" s="14"/>
      <c r="J45" s="14"/>
      <c r="K45" s="14"/>
      <c r="L45" s="14"/>
      <c r="M45" s="14"/>
      <c r="N45" s="14"/>
      <c r="O45" s="14"/>
    </row>
    <row r="46" spans="1:15" ht="18.75">
      <c r="A46" s="8" t="s">
        <v>54</v>
      </c>
      <c r="B46" s="13">
        <v>2200</v>
      </c>
      <c r="C46" s="13">
        <v>2233</v>
      </c>
      <c r="D46" s="13">
        <v>2267</v>
      </c>
      <c r="E46" s="49"/>
      <c r="F46" s="49"/>
      <c r="G46" s="49"/>
      <c r="H46" s="13"/>
      <c r="I46" s="13"/>
      <c r="J46" s="13"/>
      <c r="K46" s="13"/>
      <c r="L46" s="13"/>
      <c r="M46" s="13"/>
      <c r="N46" s="13"/>
      <c r="O46" s="13"/>
    </row>
    <row r="47" spans="1:15" ht="18.75">
      <c r="A47" s="8" t="s">
        <v>55</v>
      </c>
      <c r="B47" s="13">
        <v>478</v>
      </c>
      <c r="C47" s="13">
        <v>485</v>
      </c>
      <c r="D47" s="13">
        <v>493</v>
      </c>
      <c r="E47" s="49">
        <v>845.5</v>
      </c>
      <c r="F47" s="49">
        <v>494.2</v>
      </c>
      <c r="G47" s="49">
        <v>545.3</v>
      </c>
      <c r="H47" s="13">
        <v>518</v>
      </c>
      <c r="I47" s="13">
        <v>525</v>
      </c>
      <c r="J47" s="13">
        <v>530</v>
      </c>
      <c r="K47" s="13">
        <v>537</v>
      </c>
      <c r="L47" s="13">
        <v>543</v>
      </c>
      <c r="M47" s="13">
        <v>550</v>
      </c>
      <c r="N47" s="13">
        <v>555</v>
      </c>
      <c r="O47" s="13">
        <v>560</v>
      </c>
    </row>
    <row r="48" spans="1:15" ht="18.75">
      <c r="A48" s="8" t="s">
        <v>56</v>
      </c>
      <c r="B48" s="13"/>
      <c r="C48" s="13"/>
      <c r="D48" s="13"/>
      <c r="E48" s="49"/>
      <c r="F48" s="49"/>
      <c r="G48" s="49"/>
      <c r="H48" s="13"/>
      <c r="I48" s="13"/>
      <c r="J48" s="13"/>
      <c r="K48" s="13"/>
      <c r="L48" s="13"/>
      <c r="M48" s="13"/>
      <c r="N48" s="13"/>
      <c r="O48" s="13"/>
    </row>
    <row r="49" spans="1:15" ht="18.75">
      <c r="A49" s="8" t="s">
        <v>57</v>
      </c>
      <c r="B49" s="13"/>
      <c r="C49" s="13"/>
      <c r="D49" s="13"/>
      <c r="E49" s="49">
        <v>10</v>
      </c>
      <c r="F49" s="49">
        <v>0</v>
      </c>
      <c r="G49" s="49"/>
      <c r="H49" s="13"/>
      <c r="I49" s="13"/>
      <c r="J49" s="13"/>
      <c r="K49" s="13"/>
      <c r="L49" s="13"/>
      <c r="M49" s="13"/>
      <c r="N49" s="13"/>
      <c r="O49" s="13"/>
    </row>
    <row r="50" spans="1:15" ht="18.75">
      <c r="A50" s="8" t="s">
        <v>58</v>
      </c>
      <c r="B50" s="13">
        <v>3539</v>
      </c>
      <c r="C50" s="13">
        <v>3592</v>
      </c>
      <c r="D50" s="13">
        <v>3646</v>
      </c>
      <c r="E50" s="49">
        <v>3061.2</v>
      </c>
      <c r="F50" s="49">
        <v>1700</v>
      </c>
      <c r="G50" s="49">
        <v>1700</v>
      </c>
      <c r="H50" s="13">
        <f>3835-1305.7</f>
        <v>2529.3</v>
      </c>
      <c r="I50" s="13">
        <v>2611.5</v>
      </c>
      <c r="J50" s="13">
        <v>2697.5</v>
      </c>
      <c r="K50" s="13">
        <v>2783.1</v>
      </c>
      <c r="L50" s="13">
        <v>2874.5</v>
      </c>
      <c r="M50" s="13">
        <v>2971.8</v>
      </c>
      <c r="N50" s="13">
        <v>3068.9</v>
      </c>
      <c r="O50" s="13">
        <v>3163</v>
      </c>
    </row>
    <row r="51" spans="1:15" ht="18.75">
      <c r="A51" s="8" t="s">
        <v>59</v>
      </c>
      <c r="B51" s="13"/>
      <c r="C51" s="13"/>
      <c r="D51" s="13"/>
      <c r="E51" s="49"/>
      <c r="F51" s="49"/>
      <c r="G51" s="49"/>
      <c r="H51" s="13"/>
      <c r="I51" s="13"/>
      <c r="J51" s="13"/>
      <c r="K51" s="13"/>
      <c r="L51" s="13"/>
      <c r="M51" s="13"/>
      <c r="N51" s="13"/>
      <c r="O51" s="13"/>
    </row>
    <row r="52" spans="1:15" ht="18.75">
      <c r="A52" s="8" t="s">
        <v>60</v>
      </c>
      <c r="B52" s="13">
        <v>56</v>
      </c>
      <c r="C52" s="13">
        <v>56</v>
      </c>
      <c r="D52" s="13">
        <v>56</v>
      </c>
      <c r="E52" s="49">
        <v>36</v>
      </c>
      <c r="F52" s="49">
        <v>36</v>
      </c>
      <c r="G52" s="49">
        <v>36</v>
      </c>
      <c r="H52" s="13">
        <v>45</v>
      </c>
      <c r="I52" s="13">
        <v>45</v>
      </c>
      <c r="J52" s="13">
        <v>45</v>
      </c>
      <c r="K52" s="13">
        <v>45</v>
      </c>
      <c r="L52" s="13">
        <v>45</v>
      </c>
      <c r="M52" s="13">
        <v>45</v>
      </c>
      <c r="N52" s="13">
        <v>45</v>
      </c>
      <c r="O52" s="13">
        <v>45</v>
      </c>
    </row>
    <row r="53" spans="1:15" ht="18.75">
      <c r="A53" s="8" t="s">
        <v>61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8.75">
      <c r="A54" s="8" t="s">
        <v>62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37.5">
      <c r="A55" s="8" t="s">
        <v>63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75">
      <c r="A56" s="8" t="s">
        <v>64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13">
        <f>B60+B61+B62+B63</f>
        <v>0</v>
      </c>
      <c r="C59" s="13">
        <f aca="true" t="shared" si="14" ref="C59:O59">C60+C61+C62+C63</f>
        <v>0</v>
      </c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si="14"/>
        <v>0</v>
      </c>
      <c r="M59" s="13">
        <f t="shared" si="14"/>
        <v>0</v>
      </c>
      <c r="N59" s="13">
        <f t="shared" si="14"/>
        <v>0</v>
      </c>
      <c r="O59" s="13">
        <f t="shared" si="14"/>
        <v>0</v>
      </c>
    </row>
    <row r="60" spans="1:15" ht="18.75">
      <c r="A60" s="8" t="s">
        <v>66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</row>
    <row r="61" spans="1:15" ht="18.75">
      <c r="A61" s="8" t="s">
        <v>67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1:15" ht="18.75">
      <c r="A62" s="8" t="s">
        <v>68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</row>
    <row r="63" spans="1:15" ht="18.75">
      <c r="A63" s="8" t="s">
        <v>69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6">
      <selection activeCell="Q15" sqref="Q15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s="15" customFormat="1" ht="18.75">
      <c r="A1" s="84" t="s">
        <v>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8.75">
      <c r="A3" s="17" t="s">
        <v>0</v>
      </c>
      <c r="B3" s="17" t="s">
        <v>1</v>
      </c>
      <c r="C3" s="17" t="s">
        <v>2</v>
      </c>
      <c r="D3" s="17" t="s">
        <v>12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3</v>
      </c>
      <c r="M3" s="1" t="s">
        <v>85</v>
      </c>
      <c r="N3" s="1" t="s">
        <v>83</v>
      </c>
      <c r="O3" s="1" t="s">
        <v>84</v>
      </c>
    </row>
    <row r="4" spans="1:15" ht="47.25">
      <c r="A4" s="18" t="s">
        <v>4</v>
      </c>
      <c r="B4" s="17">
        <f>B5+B8</f>
        <v>44707.100000000006</v>
      </c>
      <c r="C4" s="19">
        <f aca="true" t="shared" si="0" ref="C4:O4">C5+C8</f>
        <v>45424.71600000001</v>
      </c>
      <c r="D4" s="19">
        <f t="shared" si="0"/>
        <v>46425.73842000001</v>
      </c>
      <c r="E4" s="81">
        <f t="shared" si="0"/>
        <v>54366.7</v>
      </c>
      <c r="F4" s="81">
        <f t="shared" si="0"/>
        <v>50548.200000000004</v>
      </c>
      <c r="G4" s="81">
        <f t="shared" si="0"/>
        <v>51242.5</v>
      </c>
      <c r="H4" s="81">
        <f t="shared" si="0"/>
        <v>53321.99053028932</v>
      </c>
      <c r="I4" s="81">
        <f t="shared" si="0"/>
        <v>53368.62072124866</v>
      </c>
      <c r="J4" s="81">
        <f t="shared" si="0"/>
        <v>54516.746002248576</v>
      </c>
      <c r="K4" s="81">
        <f t="shared" si="0"/>
        <v>55745.37923237473</v>
      </c>
      <c r="L4" s="81">
        <f t="shared" si="0"/>
        <v>56612.92307092743</v>
      </c>
      <c r="M4" s="81">
        <f t="shared" si="0"/>
        <v>57756.957742849496</v>
      </c>
      <c r="N4" s="81">
        <f t="shared" si="0"/>
        <v>58902.71623757822</v>
      </c>
      <c r="O4" s="81">
        <f t="shared" si="0"/>
        <v>60024.19599173832</v>
      </c>
    </row>
    <row r="5" spans="1:15" ht="15.75">
      <c r="A5" s="20" t="s">
        <v>5</v>
      </c>
      <c r="B5" s="21">
        <f>B17</f>
        <v>34980.200000000004</v>
      </c>
      <c r="C5" s="22">
        <f aca="true" t="shared" si="1" ref="C5:O6">C17</f>
        <v>35964.816000000006</v>
      </c>
      <c r="D5" s="22">
        <f t="shared" si="1"/>
        <v>36971.938420000006</v>
      </c>
      <c r="E5" s="82">
        <f t="shared" si="1"/>
        <v>45144.6</v>
      </c>
      <c r="F5" s="82">
        <f t="shared" si="1"/>
        <v>45466.3</v>
      </c>
      <c r="G5" s="82">
        <f t="shared" si="1"/>
        <v>46160.6</v>
      </c>
      <c r="H5" s="82">
        <f t="shared" si="1"/>
        <v>46860.02386362265</v>
      </c>
      <c r="I5" s="82">
        <f t="shared" si="1"/>
        <v>47826.69849902644</v>
      </c>
      <c r="J5" s="82">
        <f t="shared" si="1"/>
        <v>48821.48303928561</v>
      </c>
      <c r="K5" s="82">
        <f t="shared" si="1"/>
        <v>49845.66194842412</v>
      </c>
      <c r="L5" s="82">
        <f t="shared" si="1"/>
        <v>50900.62224788216</v>
      </c>
      <c r="M5" s="82">
        <f t="shared" si="1"/>
        <v>51987.86405286322</v>
      </c>
      <c r="N5" s="82">
        <f t="shared" si="1"/>
        <v>53109.01230525083</v>
      </c>
      <c r="O5" s="82">
        <f t="shared" si="1"/>
        <v>54265.82984328534</v>
      </c>
    </row>
    <row r="6" spans="1:15" ht="15.75">
      <c r="A6" s="23" t="s">
        <v>6</v>
      </c>
      <c r="B6" s="24">
        <f>B18</f>
        <v>34094.200000000004</v>
      </c>
      <c r="C6" s="22">
        <f t="shared" si="1"/>
        <v>35078.823000000004</v>
      </c>
      <c r="D6" s="22">
        <f t="shared" si="1"/>
        <v>36077.42441000001</v>
      </c>
      <c r="E6" s="82">
        <f t="shared" si="1"/>
        <v>44569.6</v>
      </c>
      <c r="F6" s="82">
        <f t="shared" si="1"/>
        <v>44881.3</v>
      </c>
      <c r="G6" s="82">
        <f t="shared" si="1"/>
        <v>45570.6</v>
      </c>
      <c r="H6" s="82">
        <f t="shared" si="1"/>
        <v>46036.24</v>
      </c>
      <c r="I6" s="82">
        <f t="shared" si="1"/>
        <v>46967.29588</v>
      </c>
      <c r="J6" s="82">
        <f t="shared" si="1"/>
        <v>47920.36185496</v>
      </c>
      <c r="K6" s="82">
        <f t="shared" si="1"/>
        <v>48896.05232849392</v>
      </c>
      <c r="L6" s="82">
        <f t="shared" si="1"/>
        <v>49895.00271187939</v>
      </c>
      <c r="M6" s="82">
        <f t="shared" si="1"/>
        <v>50917.870280209594</v>
      </c>
      <c r="N6" s="82">
        <f t="shared" si="1"/>
        <v>51965.335067468164</v>
      </c>
      <c r="O6" s="82">
        <f t="shared" si="1"/>
        <v>53038.100802395464</v>
      </c>
    </row>
    <row r="7" spans="1:15" ht="15.75">
      <c r="A7" s="23" t="s">
        <v>7</v>
      </c>
      <c r="B7" s="24">
        <f>B29</f>
        <v>886</v>
      </c>
      <c r="C7" s="22">
        <f aca="true" t="shared" si="2" ref="C7:O7">C29</f>
        <v>885.993</v>
      </c>
      <c r="D7" s="22">
        <f t="shared" si="2"/>
        <v>894.5140100000001</v>
      </c>
      <c r="E7" s="82">
        <f t="shared" si="2"/>
        <v>575</v>
      </c>
      <c r="F7" s="82">
        <f t="shared" si="2"/>
        <v>585</v>
      </c>
      <c r="G7" s="82">
        <f t="shared" si="2"/>
        <v>590</v>
      </c>
      <c r="H7" s="82">
        <f t="shared" si="2"/>
        <v>823.7838636226522</v>
      </c>
      <c r="I7" s="82">
        <f t="shared" si="2"/>
        <v>859.4026190264385</v>
      </c>
      <c r="J7" s="82">
        <f t="shared" si="2"/>
        <v>901.1211843256073</v>
      </c>
      <c r="K7" s="82">
        <f t="shared" si="2"/>
        <v>949.6096199301962</v>
      </c>
      <c r="L7" s="82">
        <f t="shared" si="2"/>
        <v>1005.6195360027706</v>
      </c>
      <c r="M7" s="82">
        <f t="shared" si="2"/>
        <v>1069.9937726536255</v>
      </c>
      <c r="N7" s="82">
        <f t="shared" si="2"/>
        <v>1143.677237782667</v>
      </c>
      <c r="O7" s="82">
        <f t="shared" si="2"/>
        <v>1227.7290408898753</v>
      </c>
    </row>
    <row r="8" spans="1:15" ht="47.25">
      <c r="A8" s="20" t="s">
        <v>8</v>
      </c>
      <c r="B8" s="24">
        <f>B39</f>
        <v>9726.9</v>
      </c>
      <c r="C8" s="22">
        <f aca="true" t="shared" si="3" ref="C8:O8">C39</f>
        <v>9459.9</v>
      </c>
      <c r="D8" s="22">
        <f t="shared" si="3"/>
        <v>9453.8</v>
      </c>
      <c r="E8" s="82">
        <f t="shared" si="3"/>
        <v>9222.1</v>
      </c>
      <c r="F8" s="82">
        <f t="shared" si="3"/>
        <v>5081.9</v>
      </c>
      <c r="G8" s="82">
        <f t="shared" si="3"/>
        <v>5081.9</v>
      </c>
      <c r="H8" s="82">
        <f t="shared" si="3"/>
        <v>6461.966666666667</v>
      </c>
      <c r="I8" s="82">
        <f t="shared" si="3"/>
        <v>5541.922222222222</v>
      </c>
      <c r="J8" s="82">
        <f t="shared" si="3"/>
        <v>5695.262962962963</v>
      </c>
      <c r="K8" s="82">
        <f t="shared" si="3"/>
        <v>5899.7172839506175</v>
      </c>
      <c r="L8" s="82">
        <f t="shared" si="3"/>
        <v>5712.300823045268</v>
      </c>
      <c r="M8" s="82">
        <f t="shared" si="3"/>
        <v>5769.093689986283</v>
      </c>
      <c r="N8" s="82">
        <f t="shared" si="3"/>
        <v>5793.703932327389</v>
      </c>
      <c r="O8" s="82">
        <f t="shared" si="3"/>
        <v>5758.36614845298</v>
      </c>
    </row>
    <row r="9" spans="1:15" ht="63">
      <c r="A9" s="18" t="s">
        <v>9</v>
      </c>
      <c r="B9" s="17" t="e">
        <f>B48</f>
        <v>#REF!</v>
      </c>
      <c r="C9" s="19" t="e">
        <f>C48</f>
        <v>#REF!</v>
      </c>
      <c r="D9" s="19" t="e">
        <f>D48</f>
        <v>#REF!</v>
      </c>
      <c r="E9" s="81">
        <f>E48</f>
        <v>54366.7</v>
      </c>
      <c r="F9" s="81">
        <f aca="true" t="shared" si="4" ref="F9:O9">F48</f>
        <v>50548.2</v>
      </c>
      <c r="G9" s="81">
        <f t="shared" si="4"/>
        <v>51242.50000000001</v>
      </c>
      <c r="H9" s="81">
        <f t="shared" si="4"/>
        <v>53322</v>
      </c>
      <c r="I9" s="81">
        <f t="shared" si="4"/>
        <v>53368.6</v>
      </c>
      <c r="J9" s="81">
        <f t="shared" si="4"/>
        <v>54516.700000000004</v>
      </c>
      <c r="K9" s="81">
        <f t="shared" si="4"/>
        <v>55745.4</v>
      </c>
      <c r="L9" s="81">
        <f t="shared" si="4"/>
        <v>56612.9</v>
      </c>
      <c r="M9" s="81">
        <f t="shared" si="4"/>
        <v>57757</v>
      </c>
      <c r="N9" s="81">
        <f t="shared" si="4"/>
        <v>58902.700000000004</v>
      </c>
      <c r="O9" s="81">
        <f t="shared" si="4"/>
        <v>60024.2</v>
      </c>
    </row>
    <row r="10" spans="1:15" s="50" customFormat="1" ht="15.75">
      <c r="A10" s="56" t="s">
        <v>10</v>
      </c>
      <c r="B10" s="57" t="e">
        <f>B4-B9</f>
        <v>#REF!</v>
      </c>
      <c r="C10" s="57" t="e">
        <f>C4-C9</f>
        <v>#REF!</v>
      </c>
      <c r="D10" s="57" t="e">
        <f>D4-D9</f>
        <v>#REF!</v>
      </c>
      <c r="E10" s="57">
        <f>E4-E9</f>
        <v>0</v>
      </c>
      <c r="F10" s="57">
        <f aca="true" t="shared" si="5" ref="F10:O10">F4-F9</f>
        <v>0</v>
      </c>
      <c r="G10" s="57">
        <f t="shared" si="5"/>
        <v>0</v>
      </c>
      <c r="H10" s="57">
        <f t="shared" si="5"/>
        <v>-0.009469710683333687</v>
      </c>
      <c r="I10" s="57">
        <f t="shared" si="5"/>
        <v>0.02072124866390368</v>
      </c>
      <c r="J10" s="57">
        <f t="shared" si="5"/>
        <v>0.04600224857131252</v>
      </c>
      <c r="K10" s="57">
        <f t="shared" si="5"/>
        <v>-0.02076762526849052</v>
      </c>
      <c r="L10" s="57">
        <f t="shared" si="5"/>
        <v>0.023070927425578702</v>
      </c>
      <c r="M10" s="57">
        <f t="shared" si="5"/>
        <v>-0.042257150504156016</v>
      </c>
      <c r="N10" s="57">
        <f t="shared" si="5"/>
        <v>0.01623757821653271</v>
      </c>
      <c r="O10" s="57">
        <f t="shared" si="5"/>
        <v>-0.00400826167606283</v>
      </c>
    </row>
    <row r="11" spans="1:15" ht="15.75">
      <c r="A11" s="18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.75">
      <c r="A13" s="85" t="s">
        <v>88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8.75">
      <c r="A15" s="17" t="s">
        <v>0</v>
      </c>
      <c r="B15" s="17" t="s">
        <v>1</v>
      </c>
      <c r="C15" s="17" t="s">
        <v>2</v>
      </c>
      <c r="D15" s="17" t="s">
        <v>12</v>
      </c>
      <c r="E15" s="1" t="s">
        <v>16</v>
      </c>
      <c r="F15" s="1" t="s">
        <v>17</v>
      </c>
      <c r="G15" s="1" t="s">
        <v>18</v>
      </c>
      <c r="H15" s="1" t="s">
        <v>19</v>
      </c>
      <c r="I15" s="1" t="s">
        <v>20</v>
      </c>
      <c r="J15" s="1" t="s">
        <v>21</v>
      </c>
      <c r="K15" s="1" t="s">
        <v>22</v>
      </c>
      <c r="L15" s="1" t="s">
        <v>3</v>
      </c>
      <c r="M15" s="1" t="s">
        <v>85</v>
      </c>
      <c r="N15" s="1" t="s">
        <v>83</v>
      </c>
      <c r="O15" s="1" t="s">
        <v>84</v>
      </c>
    </row>
    <row r="16" spans="1:15" s="29" customFormat="1" ht="47.25">
      <c r="A16" s="28" t="s">
        <v>23</v>
      </c>
      <c r="B16" s="17">
        <f aca="true" t="shared" si="6" ref="B16:O16">SUM(B17+B39)</f>
        <v>44707.100000000006</v>
      </c>
      <c r="C16" s="19">
        <f t="shared" si="6"/>
        <v>45424.71600000001</v>
      </c>
      <c r="D16" s="19">
        <f t="shared" si="6"/>
        <v>46425.73842000001</v>
      </c>
      <c r="E16" s="19">
        <f t="shared" si="6"/>
        <v>54366.7</v>
      </c>
      <c r="F16" s="19">
        <f t="shared" si="6"/>
        <v>50548.200000000004</v>
      </c>
      <c r="G16" s="19">
        <f t="shared" si="6"/>
        <v>51242.5</v>
      </c>
      <c r="H16" s="19">
        <f t="shared" si="6"/>
        <v>53321.99053028932</v>
      </c>
      <c r="I16" s="19">
        <f t="shared" si="6"/>
        <v>53368.62072124866</v>
      </c>
      <c r="J16" s="19">
        <f t="shared" si="6"/>
        <v>54516.746002248576</v>
      </c>
      <c r="K16" s="19">
        <f t="shared" si="6"/>
        <v>55745.37923237473</v>
      </c>
      <c r="L16" s="19">
        <f t="shared" si="6"/>
        <v>56612.92307092743</v>
      </c>
      <c r="M16" s="19">
        <f t="shared" si="6"/>
        <v>57756.957742849496</v>
      </c>
      <c r="N16" s="19">
        <f t="shared" si="6"/>
        <v>58902.71623757822</v>
      </c>
      <c r="O16" s="19">
        <f t="shared" si="6"/>
        <v>60024.19599173832</v>
      </c>
    </row>
    <row r="17" spans="1:15" s="29" customFormat="1" ht="15.75">
      <c r="A17" s="28" t="s">
        <v>24</v>
      </c>
      <c r="B17" s="17">
        <f>SUM(B18+B29)</f>
        <v>34980.200000000004</v>
      </c>
      <c r="C17" s="19">
        <f aca="true" t="shared" si="7" ref="C17:O17">SUM(C18+C29)</f>
        <v>35964.816000000006</v>
      </c>
      <c r="D17" s="19">
        <f t="shared" si="7"/>
        <v>36971.938420000006</v>
      </c>
      <c r="E17" s="19">
        <f t="shared" si="7"/>
        <v>45144.6</v>
      </c>
      <c r="F17" s="19">
        <f t="shared" si="7"/>
        <v>45466.3</v>
      </c>
      <c r="G17" s="19">
        <f t="shared" si="7"/>
        <v>46160.6</v>
      </c>
      <c r="H17" s="19">
        <f t="shared" si="7"/>
        <v>46860.02386362265</v>
      </c>
      <c r="I17" s="19">
        <f t="shared" si="7"/>
        <v>47826.69849902644</v>
      </c>
      <c r="J17" s="19">
        <f t="shared" si="7"/>
        <v>48821.48303928561</v>
      </c>
      <c r="K17" s="19">
        <f t="shared" si="7"/>
        <v>49845.66194842412</v>
      </c>
      <c r="L17" s="19">
        <f t="shared" si="7"/>
        <v>50900.62224788216</v>
      </c>
      <c r="M17" s="19">
        <f t="shared" si="7"/>
        <v>51987.86405286322</v>
      </c>
      <c r="N17" s="19">
        <f t="shared" si="7"/>
        <v>53109.01230525083</v>
      </c>
      <c r="O17" s="19">
        <f t="shared" si="7"/>
        <v>54265.82984328534</v>
      </c>
    </row>
    <row r="18" spans="1:15" s="32" customFormat="1" ht="15.75">
      <c r="A18" s="30" t="s">
        <v>25</v>
      </c>
      <c r="B18" s="31">
        <f>SUM(B19:B28)</f>
        <v>34094.200000000004</v>
      </c>
      <c r="C18" s="19">
        <f aca="true" t="shared" si="8" ref="C18:O18">SUM(C19:C28)</f>
        <v>35078.823000000004</v>
      </c>
      <c r="D18" s="19">
        <f t="shared" si="8"/>
        <v>36077.42441000001</v>
      </c>
      <c r="E18" s="19">
        <f t="shared" si="8"/>
        <v>44569.6</v>
      </c>
      <c r="F18" s="19">
        <f t="shared" si="8"/>
        <v>44881.3</v>
      </c>
      <c r="G18" s="19">
        <f t="shared" si="8"/>
        <v>45570.6</v>
      </c>
      <c r="H18" s="19">
        <f t="shared" si="8"/>
        <v>46036.24</v>
      </c>
      <c r="I18" s="19">
        <f t="shared" si="8"/>
        <v>46967.29588</v>
      </c>
      <c r="J18" s="19">
        <f t="shared" si="8"/>
        <v>47920.36185496</v>
      </c>
      <c r="K18" s="19">
        <f t="shared" si="8"/>
        <v>48896.05232849392</v>
      </c>
      <c r="L18" s="19">
        <f t="shared" si="8"/>
        <v>49895.00271187939</v>
      </c>
      <c r="M18" s="19">
        <f t="shared" si="8"/>
        <v>50917.870280209594</v>
      </c>
      <c r="N18" s="19">
        <f t="shared" si="8"/>
        <v>51965.335067468164</v>
      </c>
      <c r="O18" s="19">
        <f t="shared" si="8"/>
        <v>53038.100802395464</v>
      </c>
    </row>
    <row r="19" spans="1:15" ht="15.75">
      <c r="A19" s="33" t="s">
        <v>26</v>
      </c>
      <c r="B19" s="21">
        <v>28487.9</v>
      </c>
      <c r="C19" s="22">
        <f>B19*1.02</f>
        <v>29057.658000000003</v>
      </c>
      <c r="D19" s="22">
        <f aca="true" t="shared" si="9" ref="D19:O19">C19*1.02</f>
        <v>29638.811160000005</v>
      </c>
      <c r="E19" s="22">
        <v>39000</v>
      </c>
      <c r="F19" s="22">
        <v>39163</v>
      </c>
      <c r="G19" s="22">
        <v>39671</v>
      </c>
      <c r="H19" s="22">
        <f t="shared" si="9"/>
        <v>40464.42</v>
      </c>
      <c r="I19" s="22">
        <f t="shared" si="9"/>
        <v>41273.708399999996</v>
      </c>
      <c r="J19" s="22">
        <f t="shared" si="9"/>
        <v>42099.182568</v>
      </c>
      <c r="K19" s="22">
        <f t="shared" si="9"/>
        <v>42941.16621936</v>
      </c>
      <c r="L19" s="22">
        <f t="shared" si="9"/>
        <v>43799.9895437472</v>
      </c>
      <c r="M19" s="22">
        <f t="shared" si="9"/>
        <v>44675.98933462214</v>
      </c>
      <c r="N19" s="22">
        <f t="shared" si="9"/>
        <v>45569.509121314586</v>
      </c>
      <c r="O19" s="22">
        <f t="shared" si="9"/>
        <v>46480.89930374088</v>
      </c>
    </row>
    <row r="20" spans="1:15" ht="47.25">
      <c r="A20" s="33" t="s">
        <v>27</v>
      </c>
      <c r="B20" s="21">
        <v>1033.3</v>
      </c>
      <c r="C20" s="22">
        <f>B20*1.05</f>
        <v>1084.965</v>
      </c>
      <c r="D20" s="22">
        <f aca="true" t="shared" si="10" ref="D20:O20">C20*1.05</f>
        <v>1139.21325</v>
      </c>
      <c r="E20" s="22">
        <v>1969.6</v>
      </c>
      <c r="F20" s="22">
        <v>2068.3</v>
      </c>
      <c r="G20" s="22">
        <v>2214.6</v>
      </c>
      <c r="H20" s="22">
        <f t="shared" si="10"/>
        <v>2325.33</v>
      </c>
      <c r="I20" s="22">
        <f t="shared" si="10"/>
        <v>2441.5965</v>
      </c>
      <c r="J20" s="22">
        <f t="shared" si="10"/>
        <v>2563.6763250000004</v>
      </c>
      <c r="K20" s="22">
        <f t="shared" si="10"/>
        <v>2691.8601412500007</v>
      </c>
      <c r="L20" s="22">
        <f t="shared" si="10"/>
        <v>2826.4531483125006</v>
      </c>
      <c r="M20" s="22">
        <f t="shared" si="10"/>
        <v>2967.7758057281258</v>
      </c>
      <c r="N20" s="22">
        <f t="shared" si="10"/>
        <v>3116.164596014532</v>
      </c>
      <c r="O20" s="22">
        <f t="shared" si="10"/>
        <v>3271.9728258152586</v>
      </c>
    </row>
    <row r="21" spans="1:15" ht="31.5">
      <c r="A21" s="33" t="s">
        <v>28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ht="15.75">
      <c r="A22" s="33" t="s">
        <v>29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ht="31.5">
      <c r="A23" s="33" t="s">
        <v>30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ht="15.75">
      <c r="A24" s="33" t="s">
        <v>31</v>
      </c>
      <c r="B24" s="21">
        <v>198.4</v>
      </c>
      <c r="C24" s="21">
        <v>297.6</v>
      </c>
      <c r="D24" s="21">
        <v>396.8</v>
      </c>
      <c r="E24" s="21">
        <v>920</v>
      </c>
      <c r="F24" s="21">
        <v>930</v>
      </c>
      <c r="G24" s="21">
        <v>940</v>
      </c>
      <c r="H24" s="21">
        <v>496</v>
      </c>
      <c r="I24" s="21">
        <v>496</v>
      </c>
      <c r="J24" s="21">
        <v>496</v>
      </c>
      <c r="K24" s="21">
        <v>496</v>
      </c>
      <c r="L24" s="21">
        <v>496</v>
      </c>
      <c r="M24" s="21">
        <v>496</v>
      </c>
      <c r="N24" s="21">
        <v>496</v>
      </c>
      <c r="O24" s="21">
        <v>496</v>
      </c>
    </row>
    <row r="25" spans="1:15" ht="15.75">
      <c r="A25" s="33" t="s">
        <v>32</v>
      </c>
      <c r="B25" s="21">
        <v>4374.6</v>
      </c>
      <c r="C25" s="21">
        <v>4638.6</v>
      </c>
      <c r="D25" s="21">
        <v>4902.6</v>
      </c>
      <c r="E25" s="21">
        <v>2680</v>
      </c>
      <c r="F25" s="34">
        <v>2720</v>
      </c>
      <c r="G25" s="34">
        <v>2745</v>
      </c>
      <c r="H25" s="34">
        <f aca="true" t="shared" si="11" ref="H25:O25">G25*1.002</f>
        <v>2750.49</v>
      </c>
      <c r="I25" s="34">
        <f t="shared" si="11"/>
        <v>2755.9909799999996</v>
      </c>
      <c r="J25" s="34">
        <f t="shared" si="11"/>
        <v>2761.5029619599995</v>
      </c>
      <c r="K25" s="34">
        <f t="shared" si="11"/>
        <v>2767.0259678839197</v>
      </c>
      <c r="L25" s="34">
        <f t="shared" si="11"/>
        <v>2772.5600198196876</v>
      </c>
      <c r="M25" s="34">
        <f t="shared" si="11"/>
        <v>2778.1051398593268</v>
      </c>
      <c r="N25" s="34">
        <f t="shared" si="11"/>
        <v>2783.661350139045</v>
      </c>
      <c r="O25" s="34">
        <f t="shared" si="11"/>
        <v>2789.2286728393233</v>
      </c>
    </row>
    <row r="26" spans="1:15" ht="31.5">
      <c r="A26" s="33" t="s">
        <v>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 ht="15.75">
      <c r="A27" s="33" t="s">
        <v>34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 ht="47.25">
      <c r="A28" s="33" t="s">
        <v>35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15" s="29" customFormat="1" ht="15.75">
      <c r="A29" s="35" t="s">
        <v>36</v>
      </c>
      <c r="B29" s="19">
        <f>SUM(B31:B38)</f>
        <v>886</v>
      </c>
      <c r="C29" s="19">
        <f aca="true" t="shared" si="12" ref="C29:O29">SUM(C31:C38)</f>
        <v>885.993</v>
      </c>
      <c r="D29" s="19">
        <f t="shared" si="12"/>
        <v>894.5140100000001</v>
      </c>
      <c r="E29" s="19">
        <f>E30+E33+E34+E35+E36+E37+E38</f>
        <v>575</v>
      </c>
      <c r="F29" s="19">
        <f>F30+F33+F34+F35+F36+F37+F38</f>
        <v>585</v>
      </c>
      <c r="G29" s="19">
        <f>G30+G33+G34+G35+G36+G37+G38</f>
        <v>590</v>
      </c>
      <c r="H29" s="19">
        <f t="shared" si="12"/>
        <v>823.7838636226522</v>
      </c>
      <c r="I29" s="19">
        <f t="shared" si="12"/>
        <v>859.4026190264385</v>
      </c>
      <c r="J29" s="19">
        <f t="shared" si="12"/>
        <v>901.1211843256073</v>
      </c>
      <c r="K29" s="19">
        <f t="shared" si="12"/>
        <v>949.6096199301962</v>
      </c>
      <c r="L29" s="19">
        <f t="shared" si="12"/>
        <v>1005.6195360027706</v>
      </c>
      <c r="M29" s="19">
        <f t="shared" si="12"/>
        <v>1069.9937726536255</v>
      </c>
      <c r="N29" s="19">
        <f t="shared" si="12"/>
        <v>1143.677237782667</v>
      </c>
      <c r="O29" s="19">
        <f t="shared" si="12"/>
        <v>1227.7290408898753</v>
      </c>
    </row>
    <row r="30" spans="1:15" ht="47.25">
      <c r="A30" s="33" t="s">
        <v>37</v>
      </c>
      <c r="B30" s="21">
        <f>B31+B32</f>
        <v>693.4</v>
      </c>
      <c r="C30" s="22">
        <f aca="true" t="shared" si="13" ref="C30:O30">C31+C32</f>
        <v>701.3530000000001</v>
      </c>
      <c r="D30" s="22">
        <f t="shared" si="13"/>
        <v>712.51801</v>
      </c>
      <c r="E30" s="22">
        <v>550</v>
      </c>
      <c r="F30" s="22">
        <v>560</v>
      </c>
      <c r="G30" s="22">
        <v>565</v>
      </c>
      <c r="H30" s="22">
        <f t="shared" si="13"/>
        <v>796.2838636226522</v>
      </c>
      <c r="I30" s="22">
        <f t="shared" si="13"/>
        <v>829.1526190264385</v>
      </c>
      <c r="J30" s="22">
        <f t="shared" si="13"/>
        <v>867.8461843256073</v>
      </c>
      <c r="K30" s="22">
        <f t="shared" si="13"/>
        <v>913.0071199301963</v>
      </c>
      <c r="L30" s="22">
        <f t="shared" si="13"/>
        <v>965.3567860027706</v>
      </c>
      <c r="M30" s="22">
        <f t="shared" si="13"/>
        <v>1025.7047476536254</v>
      </c>
      <c r="N30" s="22">
        <f t="shared" si="13"/>
        <v>1094.9593102826668</v>
      </c>
      <c r="O30" s="22">
        <f t="shared" si="13"/>
        <v>1174.1393206398752</v>
      </c>
    </row>
    <row r="31" spans="1:15" ht="15.75" hidden="1">
      <c r="A31" s="36" t="s">
        <v>71</v>
      </c>
      <c r="B31" s="37">
        <v>191.7</v>
      </c>
      <c r="C31" s="38">
        <f>B31*1.12</f>
        <v>214.704</v>
      </c>
      <c r="D31" s="38">
        <f aca="true" t="shared" si="14" ref="D31:O31">C31*1.12</f>
        <v>240.46848000000003</v>
      </c>
      <c r="E31" s="38">
        <f t="shared" si="14"/>
        <v>269.32469760000004</v>
      </c>
      <c r="F31" s="38">
        <f t="shared" si="14"/>
        <v>301.64366131200006</v>
      </c>
      <c r="G31" s="38">
        <f t="shared" si="14"/>
        <v>337.8409006694401</v>
      </c>
      <c r="H31" s="38">
        <f t="shared" si="14"/>
        <v>378.3818087497729</v>
      </c>
      <c r="I31" s="38">
        <f t="shared" si="14"/>
        <v>423.7876257997457</v>
      </c>
      <c r="J31" s="38">
        <f t="shared" si="14"/>
        <v>474.6421408957152</v>
      </c>
      <c r="K31" s="38">
        <f t="shared" si="14"/>
        <v>531.599197803201</v>
      </c>
      <c r="L31" s="38">
        <f t="shared" si="14"/>
        <v>595.3911015395852</v>
      </c>
      <c r="M31" s="38">
        <f t="shared" si="14"/>
        <v>666.8380337243354</v>
      </c>
      <c r="N31" s="38">
        <f t="shared" si="14"/>
        <v>746.8585977712557</v>
      </c>
      <c r="O31" s="38">
        <f t="shared" si="14"/>
        <v>836.4816295038065</v>
      </c>
    </row>
    <row r="32" spans="1:15" ht="15.75" hidden="1">
      <c r="A32" s="36" t="s">
        <v>72</v>
      </c>
      <c r="B32" s="37">
        <v>501.7</v>
      </c>
      <c r="C32" s="38">
        <f>B32*0.97</f>
        <v>486.649</v>
      </c>
      <c r="D32" s="38">
        <f aca="true" t="shared" si="15" ref="D32:O32">C32*0.97</f>
        <v>472.04953</v>
      </c>
      <c r="E32" s="38">
        <f t="shared" si="15"/>
        <v>457.8880441</v>
      </c>
      <c r="F32" s="38">
        <f t="shared" si="15"/>
        <v>444.151402777</v>
      </c>
      <c r="G32" s="38">
        <f t="shared" si="15"/>
        <v>430.82686069369</v>
      </c>
      <c r="H32" s="38">
        <f t="shared" si="15"/>
        <v>417.90205487287926</v>
      </c>
      <c r="I32" s="38">
        <f t="shared" si="15"/>
        <v>405.3649932266929</v>
      </c>
      <c r="J32" s="38">
        <f t="shared" si="15"/>
        <v>393.20404342989207</v>
      </c>
      <c r="K32" s="38">
        <f t="shared" si="15"/>
        <v>381.4079221269953</v>
      </c>
      <c r="L32" s="38">
        <f t="shared" si="15"/>
        <v>369.9656844631854</v>
      </c>
      <c r="M32" s="38">
        <f t="shared" si="15"/>
        <v>358.86671392928986</v>
      </c>
      <c r="N32" s="38">
        <f t="shared" si="15"/>
        <v>348.10071251141113</v>
      </c>
      <c r="O32" s="38">
        <f t="shared" si="15"/>
        <v>337.65769113606876</v>
      </c>
    </row>
    <row r="33" spans="1:15" ht="31.5">
      <c r="A33" s="3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ht="31.5">
      <c r="A34" s="33" t="s">
        <v>39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ht="31.5">
      <c r="A35" s="33" t="s">
        <v>40</v>
      </c>
      <c r="B35" s="21">
        <v>22.6</v>
      </c>
      <c r="C35" s="22">
        <f>B35*1.4</f>
        <v>31.64</v>
      </c>
      <c r="D35" s="22">
        <f>C35*1.4</f>
        <v>44.296</v>
      </c>
      <c r="E35" s="22">
        <v>25</v>
      </c>
      <c r="F35" s="22">
        <v>25</v>
      </c>
      <c r="G35" s="22">
        <v>25</v>
      </c>
      <c r="H35" s="22">
        <f>G35*1.1</f>
        <v>27.500000000000004</v>
      </c>
      <c r="I35" s="22">
        <f aca="true" t="shared" si="16" ref="I35:O35">H35*1.1</f>
        <v>30.250000000000007</v>
      </c>
      <c r="J35" s="22">
        <f t="shared" si="16"/>
        <v>33.27500000000001</v>
      </c>
      <c r="K35" s="22">
        <f t="shared" si="16"/>
        <v>36.60250000000002</v>
      </c>
      <c r="L35" s="22">
        <f t="shared" si="16"/>
        <v>40.262750000000025</v>
      </c>
      <c r="M35" s="22">
        <f t="shared" si="16"/>
        <v>44.28902500000003</v>
      </c>
      <c r="N35" s="22">
        <f t="shared" si="16"/>
        <v>48.71792750000004</v>
      </c>
      <c r="O35" s="22">
        <f t="shared" si="16"/>
        <v>53.58972025000005</v>
      </c>
    </row>
    <row r="36" spans="1:15" ht="15.75">
      <c r="A36" s="3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ht="15.75">
      <c r="A37" s="33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ht="15.75">
      <c r="A38" s="33" t="s">
        <v>43</v>
      </c>
      <c r="B38" s="22">
        <v>170</v>
      </c>
      <c r="C38" s="22">
        <f>B38*0.9</f>
        <v>153</v>
      </c>
      <c r="D38" s="22">
        <f aca="true" t="shared" si="17" ref="D38:O38">C38*0.9</f>
        <v>137.70000000000002</v>
      </c>
      <c r="E38" s="22">
        <v>0</v>
      </c>
      <c r="F38" s="22">
        <v>0</v>
      </c>
      <c r="G38" s="22">
        <f t="shared" si="17"/>
        <v>0</v>
      </c>
      <c r="H38" s="22">
        <f t="shared" si="17"/>
        <v>0</v>
      </c>
      <c r="I38" s="22">
        <f t="shared" si="17"/>
        <v>0</v>
      </c>
      <c r="J38" s="22">
        <f t="shared" si="17"/>
        <v>0</v>
      </c>
      <c r="K38" s="22">
        <f t="shared" si="17"/>
        <v>0</v>
      </c>
      <c r="L38" s="22">
        <f t="shared" si="17"/>
        <v>0</v>
      </c>
      <c r="M38" s="22">
        <f t="shared" si="17"/>
        <v>0</v>
      </c>
      <c r="N38" s="22">
        <f t="shared" si="17"/>
        <v>0</v>
      </c>
      <c r="O38" s="22">
        <f t="shared" si="17"/>
        <v>0</v>
      </c>
    </row>
    <row r="39" spans="1:15" ht="47.25">
      <c r="A39" s="28" t="s">
        <v>73</v>
      </c>
      <c r="B39" s="19">
        <f>SUM(B40:B43)</f>
        <v>9726.9</v>
      </c>
      <c r="C39" s="19">
        <f aca="true" t="shared" si="18" ref="C39:O39">SUM(C40:C43)</f>
        <v>9459.9</v>
      </c>
      <c r="D39" s="19">
        <f t="shared" si="18"/>
        <v>9453.8</v>
      </c>
      <c r="E39" s="19">
        <f t="shared" si="18"/>
        <v>9222.1</v>
      </c>
      <c r="F39" s="19">
        <f t="shared" si="18"/>
        <v>5081.9</v>
      </c>
      <c r="G39" s="19">
        <f t="shared" si="18"/>
        <v>5081.9</v>
      </c>
      <c r="H39" s="19">
        <f t="shared" si="18"/>
        <v>6461.966666666667</v>
      </c>
      <c r="I39" s="19">
        <f t="shared" si="18"/>
        <v>5541.922222222222</v>
      </c>
      <c r="J39" s="19">
        <f t="shared" si="18"/>
        <v>5695.262962962963</v>
      </c>
      <c r="K39" s="19">
        <f t="shared" si="18"/>
        <v>5899.7172839506175</v>
      </c>
      <c r="L39" s="19">
        <f t="shared" si="18"/>
        <v>5712.300823045268</v>
      </c>
      <c r="M39" s="19">
        <f t="shared" si="18"/>
        <v>5769.093689986283</v>
      </c>
      <c r="N39" s="19">
        <f t="shared" si="18"/>
        <v>5793.703932327389</v>
      </c>
      <c r="O39" s="19">
        <f t="shared" si="18"/>
        <v>5758.36614845298</v>
      </c>
    </row>
    <row r="40" spans="1:15" ht="15.75">
      <c r="A40" s="33" t="s">
        <v>45</v>
      </c>
      <c r="B40" s="21">
        <v>9726.9</v>
      </c>
      <c r="C40" s="21">
        <v>9459.9</v>
      </c>
      <c r="D40" s="21">
        <v>9453.8</v>
      </c>
      <c r="E40" s="22">
        <v>9222.1</v>
      </c>
      <c r="F40" s="22">
        <v>5081.9</v>
      </c>
      <c r="G40" s="22">
        <v>5081.9</v>
      </c>
      <c r="H40" s="22">
        <f aca="true" t="shared" si="19" ref="H40:O40">(E40+F40+G40)/3</f>
        <v>6461.966666666667</v>
      </c>
      <c r="I40" s="22">
        <f t="shared" si="19"/>
        <v>5541.922222222222</v>
      </c>
      <c r="J40" s="22">
        <f t="shared" si="19"/>
        <v>5695.262962962963</v>
      </c>
      <c r="K40" s="22">
        <f t="shared" si="19"/>
        <v>5899.7172839506175</v>
      </c>
      <c r="L40" s="22">
        <f t="shared" si="19"/>
        <v>5712.300823045268</v>
      </c>
      <c r="M40" s="22">
        <f t="shared" si="19"/>
        <v>5769.093689986283</v>
      </c>
      <c r="N40" s="22">
        <f t="shared" si="19"/>
        <v>5793.703932327389</v>
      </c>
      <c r="O40" s="22">
        <f t="shared" si="19"/>
        <v>5758.36614845298</v>
      </c>
    </row>
    <row r="41" spans="1:15" ht="47.25">
      <c r="A41" s="33" t="s">
        <v>46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ht="31.5">
      <c r="A42" s="33" t="s">
        <v>47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ht="15.75">
      <c r="A43" s="33" t="s">
        <v>48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5.75">
      <c r="A45" s="85" t="s">
        <v>89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8.75">
      <c r="A47" s="17" t="s">
        <v>0</v>
      </c>
      <c r="B47" s="17" t="s">
        <v>1</v>
      </c>
      <c r="C47" s="17" t="s">
        <v>2</v>
      </c>
      <c r="D47" s="17" t="s">
        <v>12</v>
      </c>
      <c r="E47" s="1" t="s">
        <v>16</v>
      </c>
      <c r="F47" s="1" t="s">
        <v>17</v>
      </c>
      <c r="G47" s="1" t="s">
        <v>18</v>
      </c>
      <c r="H47" s="1" t="s">
        <v>19</v>
      </c>
      <c r="I47" s="1" t="s">
        <v>20</v>
      </c>
      <c r="J47" s="1" t="s">
        <v>21</v>
      </c>
      <c r="K47" s="1" t="s">
        <v>22</v>
      </c>
      <c r="L47" s="1" t="s">
        <v>3</v>
      </c>
      <c r="M47" s="1" t="s">
        <v>85</v>
      </c>
      <c r="N47" s="1" t="s">
        <v>83</v>
      </c>
      <c r="O47" s="1" t="s">
        <v>84</v>
      </c>
    </row>
    <row r="48" spans="1:15" ht="78.75">
      <c r="A48" s="28" t="s">
        <v>49</v>
      </c>
      <c r="B48" s="17" t="e">
        <f>B50+B51+B52+B53+B54+B55+B56+B57+B58+B59+B60+B61+B62+B63</f>
        <v>#REF!</v>
      </c>
      <c r="C48" s="19" t="e">
        <f>C50+C51+C52+C53+C54+C55+C56+C57+C58+C59+C60+C61+C62+C63</f>
        <v>#REF!</v>
      </c>
      <c r="D48" s="19" t="e">
        <f>D50+D51+D52+D53+D54+D55+D56+D57+D58+D59+D60+D61+D62+D63</f>
        <v>#REF!</v>
      </c>
      <c r="E48" s="19">
        <f aca="true" t="shared" si="20" ref="E48:O48">SUM(E50:E61)</f>
        <v>54366.7</v>
      </c>
      <c r="F48" s="19">
        <f t="shared" si="20"/>
        <v>50548.2</v>
      </c>
      <c r="G48" s="19">
        <f t="shared" si="20"/>
        <v>51242.50000000001</v>
      </c>
      <c r="H48" s="19">
        <f t="shared" si="20"/>
        <v>53322</v>
      </c>
      <c r="I48" s="19">
        <f t="shared" si="20"/>
        <v>53368.6</v>
      </c>
      <c r="J48" s="19">
        <f t="shared" si="20"/>
        <v>54516.700000000004</v>
      </c>
      <c r="K48" s="19">
        <f t="shared" si="20"/>
        <v>55745.4</v>
      </c>
      <c r="L48" s="19">
        <f t="shared" si="20"/>
        <v>56612.9</v>
      </c>
      <c r="M48" s="19">
        <f t="shared" si="20"/>
        <v>57757</v>
      </c>
      <c r="N48" s="19">
        <f t="shared" si="20"/>
        <v>58902.700000000004</v>
      </c>
      <c r="O48" s="19">
        <f t="shared" si="20"/>
        <v>60024.2</v>
      </c>
    </row>
    <row r="49" spans="1:15" ht="15.75">
      <c r="A49" s="33" t="s">
        <v>50</v>
      </c>
      <c r="B49" s="21"/>
      <c r="C49" s="21"/>
      <c r="D49" s="21"/>
      <c r="E49" s="2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.75">
      <c r="A50" s="33" t="s">
        <v>51</v>
      </c>
      <c r="B50" s="21" t="e">
        <f>SUM(#REF!)</f>
        <v>#REF!</v>
      </c>
      <c r="C50" s="22" t="e">
        <f>SUM(#REF!)</f>
        <v>#REF!</v>
      </c>
      <c r="D50" s="22" t="e">
        <f>SUM(#REF!)</f>
        <v>#REF!</v>
      </c>
      <c r="E50" s="54">
        <v>1831.8</v>
      </c>
      <c r="F50" s="54">
        <v>1611.8</v>
      </c>
      <c r="G50" s="54">
        <v>1611.8</v>
      </c>
      <c r="H50" s="54">
        <v>1611.8</v>
      </c>
      <c r="I50" s="54">
        <v>1611.8</v>
      </c>
      <c r="J50" s="54">
        <v>1611.8</v>
      </c>
      <c r="K50" s="54">
        <v>1611.8</v>
      </c>
      <c r="L50" s="54">
        <v>1611.8</v>
      </c>
      <c r="M50" s="54">
        <v>1611.8</v>
      </c>
      <c r="N50" s="54">
        <v>1611.8</v>
      </c>
      <c r="O50" s="54">
        <v>1700</v>
      </c>
    </row>
    <row r="51" spans="1:15" ht="15.75">
      <c r="A51" s="33" t="s">
        <v>52</v>
      </c>
      <c r="B51" s="21">
        <v>0</v>
      </c>
      <c r="C51" s="21">
        <v>0</v>
      </c>
      <c r="D51" s="21"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31.5">
      <c r="A52" s="33" t="s">
        <v>53</v>
      </c>
      <c r="B52" s="21">
        <v>0</v>
      </c>
      <c r="C52" s="21">
        <v>0</v>
      </c>
      <c r="D52" s="21"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.75">
      <c r="A53" s="33" t="s">
        <v>54</v>
      </c>
      <c r="B53" s="21" t="e">
        <f>SUM(#REF!)</f>
        <v>#REF!</v>
      </c>
      <c r="C53" s="22" t="e">
        <f>SUM(#REF!)</f>
        <v>#REF!</v>
      </c>
      <c r="D53" s="22" t="e">
        <f>SUM(#REF!)</f>
        <v>#REF!</v>
      </c>
      <c r="E53" s="54">
        <v>11130.9</v>
      </c>
      <c r="F53" s="54">
        <v>10529.7</v>
      </c>
      <c r="G53" s="54">
        <v>11230.3</v>
      </c>
      <c r="H53" s="54">
        <f>11230.3+1798.9</f>
        <v>13029.199999999999</v>
      </c>
      <c r="I53" s="54">
        <f>11230.3+1798.9</f>
        <v>13029.199999999999</v>
      </c>
      <c r="J53" s="54">
        <f>11230.3+1798.9+500</f>
        <v>13529.199999999999</v>
      </c>
      <c r="K53" s="54">
        <f>11230.3+1798.9+500+400</f>
        <v>13929.199999999999</v>
      </c>
      <c r="L53" s="54">
        <f>11230.3+1798.9+500+400+300</f>
        <v>14229.199999999999</v>
      </c>
      <c r="M53" s="54">
        <f>11230.3+1798.9+500+400+300+400</f>
        <v>14629.199999999999</v>
      </c>
      <c r="N53" s="54">
        <f>11230.3+1798.9+500+400+300+400+500</f>
        <v>15129.199999999999</v>
      </c>
      <c r="O53" s="54">
        <f>11230.3+1798.9+500+400+300+400+500+400</f>
        <v>15529.199999999999</v>
      </c>
    </row>
    <row r="54" spans="1:15" ht="15.75">
      <c r="A54" s="33" t="s">
        <v>55</v>
      </c>
      <c r="B54" s="21" t="e">
        <f>SUM(#REF!)</f>
        <v>#REF!</v>
      </c>
      <c r="C54" s="22" t="e">
        <f>SUM(#REF!)</f>
        <v>#REF!</v>
      </c>
      <c r="D54" s="22" t="e">
        <f>SUM(#REF!)</f>
        <v>#REF!</v>
      </c>
      <c r="E54" s="54">
        <v>24330.6</v>
      </c>
      <c r="F54" s="54">
        <v>21481.7</v>
      </c>
      <c r="G54" s="54">
        <v>21481.7</v>
      </c>
      <c r="H54" s="54">
        <v>21481.7</v>
      </c>
      <c r="I54" s="54">
        <v>21481.7</v>
      </c>
      <c r="J54" s="54">
        <f>21481.7+494.7</f>
        <v>21976.4</v>
      </c>
      <c r="K54" s="54">
        <f>21481.7+494.7+378.7</f>
        <v>22355.100000000002</v>
      </c>
      <c r="L54" s="54">
        <f>21481.7+494.7+378.7+367.5</f>
        <v>22722.600000000002</v>
      </c>
      <c r="M54" s="54">
        <f>21481.7+494.7+378.7+367.5+444.1</f>
        <v>23166.7</v>
      </c>
      <c r="N54" s="54">
        <f>21481.7+494.7+378.7+367.5+444.1+345.7</f>
        <v>23512.4</v>
      </c>
      <c r="O54" s="54">
        <f>21481.7+494.7+378.7+367.5+444.1+345.7+433.3</f>
        <v>23945.7</v>
      </c>
    </row>
    <row r="55" spans="1:15" ht="15.75">
      <c r="A55" s="33" t="s">
        <v>56</v>
      </c>
      <c r="B55" s="21">
        <v>0</v>
      </c>
      <c r="C55" s="21">
        <v>0</v>
      </c>
      <c r="D55" s="21"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75">
      <c r="A56" s="33" t="s">
        <v>57</v>
      </c>
      <c r="B56" s="21" t="e">
        <f>#REF!</f>
        <v>#REF!</v>
      </c>
      <c r="C56" s="22" t="e">
        <f>#REF!</f>
        <v>#REF!</v>
      </c>
      <c r="D56" s="22" t="e">
        <f>#REF!</f>
        <v>#REF!</v>
      </c>
      <c r="E56" s="54">
        <v>200</v>
      </c>
      <c r="F56" s="54">
        <v>200</v>
      </c>
      <c r="G56" s="54">
        <v>200</v>
      </c>
      <c r="H56" s="54">
        <v>200</v>
      </c>
      <c r="I56" s="54">
        <v>200</v>
      </c>
      <c r="J56" s="54">
        <v>200</v>
      </c>
      <c r="K56" s="54">
        <v>200</v>
      </c>
      <c r="L56" s="54">
        <v>200</v>
      </c>
      <c r="M56" s="54">
        <v>200</v>
      </c>
      <c r="N56" s="54">
        <v>200</v>
      </c>
      <c r="O56" s="54">
        <v>200</v>
      </c>
    </row>
    <row r="57" spans="1:15" ht="15.75">
      <c r="A57" s="33" t="s">
        <v>58</v>
      </c>
      <c r="B57" s="21" t="e">
        <f>#REF!+#REF!</f>
        <v>#REF!</v>
      </c>
      <c r="C57" s="22" t="e">
        <f>#REF!+#REF!</f>
        <v>#REF!</v>
      </c>
      <c r="D57" s="22" t="e">
        <f>#REF!+#REF!</f>
        <v>#REF!</v>
      </c>
      <c r="E57" s="54">
        <v>16119.9</v>
      </c>
      <c r="F57" s="54">
        <v>16119.4</v>
      </c>
      <c r="G57" s="54">
        <v>16119.4</v>
      </c>
      <c r="H57" s="54">
        <v>16400</v>
      </c>
      <c r="I57" s="54">
        <f>16400+46.6</f>
        <v>16446.6</v>
      </c>
      <c r="J57" s="54">
        <v>16600</v>
      </c>
      <c r="K57" s="54">
        <v>17000</v>
      </c>
      <c r="L57" s="54">
        <v>17200</v>
      </c>
      <c r="M57" s="54">
        <v>17500</v>
      </c>
      <c r="N57" s="54">
        <v>17800</v>
      </c>
      <c r="O57" s="54">
        <v>18000</v>
      </c>
    </row>
    <row r="58" spans="1:15" ht="15.75">
      <c r="A58" s="33" t="s">
        <v>59</v>
      </c>
      <c r="B58" s="21">
        <v>0</v>
      </c>
      <c r="C58" s="21">
        <v>0</v>
      </c>
      <c r="D58" s="21"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5.75">
      <c r="A59" s="33" t="s">
        <v>60</v>
      </c>
      <c r="B59" s="21">
        <v>0</v>
      </c>
      <c r="C59" s="21">
        <v>0</v>
      </c>
      <c r="D59" s="21">
        <v>0</v>
      </c>
      <c r="E59" s="55">
        <v>203.5</v>
      </c>
      <c r="F59" s="55">
        <v>55.6</v>
      </c>
      <c r="G59" s="55">
        <v>49.3</v>
      </c>
      <c r="H59" s="55">
        <v>49.3</v>
      </c>
      <c r="I59" s="55">
        <v>49.3</v>
      </c>
      <c r="J59" s="55">
        <v>49.3</v>
      </c>
      <c r="K59" s="55">
        <v>49.3</v>
      </c>
      <c r="L59" s="55">
        <v>49.3</v>
      </c>
      <c r="M59" s="55">
        <v>49.3</v>
      </c>
      <c r="N59" s="55">
        <v>49.3</v>
      </c>
      <c r="O59" s="55">
        <v>49.3</v>
      </c>
    </row>
    <row r="60" spans="1:15" ht="15.75">
      <c r="A60" s="33" t="s">
        <v>61</v>
      </c>
      <c r="B60" s="21" t="e">
        <f>#REF!</f>
        <v>#REF!</v>
      </c>
      <c r="C60" s="22" t="e">
        <f>#REF!</f>
        <v>#REF!</v>
      </c>
      <c r="D60" s="22" t="e">
        <f>#REF!</f>
        <v>#REF!</v>
      </c>
      <c r="E60" s="54">
        <v>550</v>
      </c>
      <c r="F60" s="54">
        <v>550</v>
      </c>
      <c r="G60" s="54">
        <v>550</v>
      </c>
      <c r="H60" s="54">
        <v>550</v>
      </c>
      <c r="I60" s="54">
        <v>550</v>
      </c>
      <c r="J60" s="54">
        <v>550</v>
      </c>
      <c r="K60" s="54">
        <v>600</v>
      </c>
      <c r="L60" s="54">
        <v>600</v>
      </c>
      <c r="M60" s="54">
        <v>600</v>
      </c>
      <c r="N60" s="54">
        <v>600</v>
      </c>
      <c r="O60" s="54">
        <v>600</v>
      </c>
    </row>
    <row r="61" spans="1:15" ht="15.75">
      <c r="A61" s="33" t="s">
        <v>62</v>
      </c>
      <c r="B61" s="21">
        <v>0</v>
      </c>
      <c r="C61" s="21">
        <v>0</v>
      </c>
      <c r="D61" s="21">
        <v>0</v>
      </c>
      <c r="E61" s="55"/>
      <c r="F61" s="55"/>
      <c r="G61" s="55"/>
      <c r="H61" s="21"/>
      <c r="I61" s="21"/>
      <c r="J61" s="21"/>
      <c r="K61" s="21"/>
      <c r="L61" s="21"/>
      <c r="M61" s="21"/>
      <c r="N61" s="21"/>
      <c r="O61" s="21"/>
    </row>
    <row r="62" spans="1:15" ht="15.75">
      <c r="A62" s="33" t="s">
        <v>63</v>
      </c>
      <c r="B62" s="21">
        <v>0</v>
      </c>
      <c r="C62" s="21">
        <v>0</v>
      </c>
      <c r="D62" s="21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63">
      <c r="A63" s="33" t="s">
        <v>64</v>
      </c>
      <c r="B63" s="21">
        <v>0</v>
      </c>
      <c r="C63" s="21">
        <v>0</v>
      </c>
      <c r="D63" s="21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5.75">
      <c r="A65" s="85" t="s">
        <v>91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ht="15.7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8.75">
      <c r="A67" s="17" t="s">
        <v>0</v>
      </c>
      <c r="B67" s="17" t="s">
        <v>1</v>
      </c>
      <c r="C67" s="17" t="s">
        <v>2</v>
      </c>
      <c r="D67" s="17" t="s">
        <v>12</v>
      </c>
      <c r="E67" s="1" t="s">
        <v>16</v>
      </c>
      <c r="F67" s="1" t="s">
        <v>17</v>
      </c>
      <c r="G67" s="1" t="s">
        <v>18</v>
      </c>
      <c r="H67" s="1" t="s">
        <v>19</v>
      </c>
      <c r="I67" s="1" t="s">
        <v>20</v>
      </c>
      <c r="J67" s="1" t="s">
        <v>21</v>
      </c>
      <c r="K67" s="1" t="s">
        <v>22</v>
      </c>
      <c r="L67" s="1" t="s">
        <v>3</v>
      </c>
      <c r="M67" s="1" t="s">
        <v>85</v>
      </c>
      <c r="N67" s="1" t="s">
        <v>83</v>
      </c>
      <c r="O67" s="1" t="s">
        <v>84</v>
      </c>
    </row>
    <row r="68" spans="1:15" ht="15.75">
      <c r="A68" s="28" t="s">
        <v>65</v>
      </c>
      <c r="B68" s="17">
        <f>SUM(B69:B72)</f>
        <v>0</v>
      </c>
      <c r="C68" s="17">
        <f aca="true" t="shared" si="21" ref="C68:O68">SUM(C69:C72)</f>
        <v>0</v>
      </c>
      <c r="D68" s="17">
        <f t="shared" si="21"/>
        <v>0</v>
      </c>
      <c r="E68" s="17">
        <f t="shared" si="21"/>
        <v>0</v>
      </c>
      <c r="F68" s="17">
        <f t="shared" si="21"/>
        <v>0</v>
      </c>
      <c r="G68" s="17">
        <f t="shared" si="21"/>
        <v>0</v>
      </c>
      <c r="H68" s="17">
        <f t="shared" si="21"/>
        <v>0</v>
      </c>
      <c r="I68" s="17">
        <f t="shared" si="21"/>
        <v>0</v>
      </c>
      <c r="J68" s="17">
        <f t="shared" si="21"/>
        <v>0</v>
      </c>
      <c r="K68" s="17">
        <f t="shared" si="21"/>
        <v>0</v>
      </c>
      <c r="L68" s="17">
        <f t="shared" si="21"/>
        <v>0</v>
      </c>
      <c r="M68" s="17">
        <f t="shared" si="21"/>
        <v>0</v>
      </c>
      <c r="N68" s="17">
        <f t="shared" si="21"/>
        <v>0</v>
      </c>
      <c r="O68" s="17">
        <f t="shared" si="21"/>
        <v>0</v>
      </c>
    </row>
    <row r="69" spans="1:15" ht="15.75">
      <c r="A69" s="33" t="s">
        <v>66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ht="15.75">
      <c r="A70" s="33" t="s">
        <v>67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1:15" ht="15.75">
      <c r="A71" s="33" t="s">
        <v>68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ht="15.75">
      <c r="A72" s="33" t="s">
        <v>69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5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27"/>
      <c r="O75" s="27"/>
    </row>
    <row r="76" spans="1:15" ht="15.7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7"/>
      <c r="M76" s="67"/>
      <c r="N76" s="27"/>
      <c r="O76" s="27"/>
    </row>
    <row r="77" spans="1:15" ht="15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27"/>
      <c r="O77" s="27"/>
    </row>
    <row r="78" spans="1:15" ht="15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</sheetData>
  <sheetProtection/>
  <mergeCells count="4">
    <mergeCell ref="A1:O1"/>
    <mergeCell ref="A13:O13"/>
    <mergeCell ref="A45:O45"/>
    <mergeCell ref="A65:O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zoomScalePageLayoutView="0" workbookViewId="0" topLeftCell="A7">
      <selection activeCell="G68" sqref="G68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4.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32.25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86" t="s">
        <v>78</v>
      </c>
      <c r="O2" s="86"/>
    </row>
    <row r="3" spans="1:15" ht="18.75">
      <c r="A3" s="1" t="s">
        <v>0</v>
      </c>
      <c r="B3" s="1" t="s">
        <v>1</v>
      </c>
      <c r="C3" s="1" t="s">
        <v>2</v>
      </c>
      <c r="D3" s="1" t="s">
        <v>12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3</v>
      </c>
      <c r="M3" s="1" t="s">
        <v>14</v>
      </c>
      <c r="N3" s="1" t="s">
        <v>22</v>
      </c>
      <c r="O3" s="1" t="s">
        <v>3</v>
      </c>
    </row>
    <row r="4" spans="1:15" ht="75">
      <c r="A4" s="2" t="s">
        <v>4</v>
      </c>
      <c r="B4" s="9" t="e">
        <f>B5+B8</f>
        <v>#REF!</v>
      </c>
      <c r="C4" s="9" t="e">
        <f aca="true" t="shared" si="0" ref="C4:O4">C5+C8</f>
        <v>#REF!</v>
      </c>
      <c r="D4" s="9" t="e">
        <f t="shared" si="0"/>
        <v>#REF!</v>
      </c>
      <c r="E4" s="9">
        <f t="shared" si="0"/>
        <v>228148.9</v>
      </c>
      <c r="F4" s="9">
        <f t="shared" si="0"/>
        <v>184857.69999999998</v>
      </c>
      <c r="G4" s="9">
        <f t="shared" si="0"/>
        <v>187402.7</v>
      </c>
      <c r="H4" s="9">
        <f t="shared" si="0"/>
        <v>192306.99453028932</v>
      </c>
      <c r="I4" s="9">
        <f t="shared" si="0"/>
        <v>195245.08480124865</v>
      </c>
      <c r="J4" s="9">
        <f t="shared" si="0"/>
        <v>199353.67536384857</v>
      </c>
      <c r="K4" s="9">
        <f t="shared" si="0"/>
        <v>203614.27678120678</v>
      </c>
      <c r="L4" s="9">
        <f t="shared" si="0"/>
        <v>207587.9511307361</v>
      </c>
      <c r="M4" s="9">
        <f t="shared" si="0"/>
        <v>211915.11417985434</v>
      </c>
      <c r="N4" s="9">
        <f t="shared" si="0"/>
        <v>216324.02640092315</v>
      </c>
      <c r="O4" s="9">
        <f t="shared" si="0"/>
        <v>220791.92201571015</v>
      </c>
    </row>
    <row r="5" spans="1:15" ht="18.75">
      <c r="A5" s="3" t="s">
        <v>5</v>
      </c>
      <c r="B5" s="9" t="e">
        <f>B6+B7</f>
        <v>#REF!</v>
      </c>
      <c r="C5" s="9" t="e">
        <f aca="true" t="shared" si="1" ref="C5:O5">C6+C7</f>
        <v>#REF!</v>
      </c>
      <c r="D5" s="9" t="e">
        <f t="shared" si="1"/>
        <v>#REF!</v>
      </c>
      <c r="E5" s="9">
        <f t="shared" si="1"/>
        <v>106933.6</v>
      </c>
      <c r="F5" s="9">
        <f t="shared" si="1"/>
        <v>109512.59999999999</v>
      </c>
      <c r="G5" s="9">
        <f t="shared" si="1"/>
        <v>112066.5</v>
      </c>
      <c r="H5" s="9">
        <f t="shared" si="1"/>
        <v>114185.64186362264</v>
      </c>
      <c r="I5" s="9">
        <f t="shared" si="1"/>
        <v>116610.58885902644</v>
      </c>
      <c r="J5" s="9">
        <f t="shared" si="1"/>
        <v>119103.98720648559</v>
      </c>
      <c r="K5" s="9">
        <f t="shared" si="1"/>
        <v>121669.04579896812</v>
      </c>
      <c r="L5" s="9">
        <f t="shared" si="1"/>
        <v>124309.22633543707</v>
      </c>
      <c r="M5" s="9">
        <f t="shared" si="1"/>
        <v>127028.2680381692</v>
      </c>
      <c r="N5" s="9">
        <f t="shared" si="1"/>
        <v>129830.2149678629</v>
      </c>
      <c r="O5" s="9">
        <f t="shared" si="1"/>
        <v>132719.44621650968</v>
      </c>
    </row>
    <row r="6" spans="1:15" ht="18.75">
      <c r="A6" s="5" t="s">
        <v>6</v>
      </c>
      <c r="B6" s="9" t="e">
        <f>B16</f>
        <v>#REF!</v>
      </c>
      <c r="C6" s="9" t="e">
        <f aca="true" t="shared" si="2" ref="C6:O6">C16</f>
        <v>#REF!</v>
      </c>
      <c r="D6" s="9" t="e">
        <f t="shared" si="2"/>
        <v>#REF!</v>
      </c>
      <c r="E6" s="9">
        <f t="shared" si="2"/>
        <v>95261.6</v>
      </c>
      <c r="F6" s="9">
        <f t="shared" si="2"/>
        <v>97518.9</v>
      </c>
      <c r="G6" s="9">
        <f t="shared" si="2"/>
        <v>99780.9</v>
      </c>
      <c r="H6" s="9">
        <f t="shared" si="2"/>
        <v>101432.34599999999</v>
      </c>
      <c r="I6" s="9">
        <f t="shared" si="2"/>
        <v>103583.08399999999</v>
      </c>
      <c r="J6" s="9">
        <f t="shared" si="2"/>
        <v>105791.40173735998</v>
      </c>
      <c r="K6" s="9">
        <f t="shared" si="2"/>
        <v>108059.74260854191</v>
      </c>
      <c r="L6" s="9">
        <f t="shared" si="2"/>
        <v>110390.71935752837</v>
      </c>
      <c r="M6" s="9">
        <f t="shared" si="2"/>
        <v>112787.12907477154</v>
      </c>
      <c r="N6" s="9">
        <f t="shared" si="2"/>
        <v>115251.96963552132</v>
      </c>
      <c r="O6" s="9">
        <f t="shared" si="2"/>
        <v>117788.45771916972</v>
      </c>
    </row>
    <row r="7" spans="1:15" ht="18.75">
      <c r="A7" s="5" t="s">
        <v>7</v>
      </c>
      <c r="B7" s="9" t="e">
        <f>B27</f>
        <v>#REF!</v>
      </c>
      <c r="C7" s="9" t="e">
        <f aca="true" t="shared" si="3" ref="C7:O7">C27</f>
        <v>#REF!</v>
      </c>
      <c r="D7" s="9" t="e">
        <f t="shared" si="3"/>
        <v>#REF!</v>
      </c>
      <c r="E7" s="9">
        <f t="shared" si="3"/>
        <v>11672.000000000002</v>
      </c>
      <c r="F7" s="9">
        <f t="shared" si="3"/>
        <v>11993.700000000003</v>
      </c>
      <c r="G7" s="9">
        <f t="shared" si="3"/>
        <v>12285.600000000002</v>
      </c>
      <c r="H7" s="9">
        <f t="shared" si="3"/>
        <v>12753.295863622652</v>
      </c>
      <c r="I7" s="9">
        <f t="shared" si="3"/>
        <v>13027.504859026441</v>
      </c>
      <c r="J7" s="9">
        <f t="shared" si="3"/>
        <v>13312.585469125608</v>
      </c>
      <c r="K7" s="9">
        <f t="shared" si="3"/>
        <v>13609.303190426195</v>
      </c>
      <c r="L7" s="9">
        <f t="shared" si="3"/>
        <v>13918.506977908693</v>
      </c>
      <c r="M7" s="9">
        <f t="shared" si="3"/>
        <v>14241.138963397665</v>
      </c>
      <c r="N7" s="9">
        <f t="shared" si="3"/>
        <v>14578.245332341588</v>
      </c>
      <c r="O7" s="9">
        <f t="shared" si="3"/>
        <v>14930.988497339975</v>
      </c>
    </row>
    <row r="8" spans="1:15" ht="75">
      <c r="A8" s="3" t="s">
        <v>8</v>
      </c>
      <c r="B8" s="9" t="e">
        <f>B35</f>
        <v>#REF!</v>
      </c>
      <c r="C8" s="9" t="e">
        <f aca="true" t="shared" si="4" ref="C8:O8">C35</f>
        <v>#REF!</v>
      </c>
      <c r="D8" s="9" t="e">
        <f t="shared" si="4"/>
        <v>#REF!</v>
      </c>
      <c r="E8" s="9">
        <f t="shared" si="4"/>
        <v>121215.29999999999</v>
      </c>
      <c r="F8" s="9">
        <f t="shared" si="4"/>
        <v>75345.09999999999</v>
      </c>
      <c r="G8" s="9">
        <f t="shared" si="4"/>
        <v>75336.2</v>
      </c>
      <c r="H8" s="9">
        <f t="shared" si="4"/>
        <v>78121.35266666667</v>
      </c>
      <c r="I8" s="9">
        <f t="shared" si="4"/>
        <v>78634.49594222222</v>
      </c>
      <c r="J8" s="9">
        <f t="shared" si="4"/>
        <v>80249.68815736297</v>
      </c>
      <c r="K8" s="9">
        <f t="shared" si="4"/>
        <v>81945.23098223865</v>
      </c>
      <c r="L8" s="9">
        <f t="shared" si="4"/>
        <v>83278.72479529904</v>
      </c>
      <c r="M8" s="9">
        <f t="shared" si="4"/>
        <v>84886.84614168514</v>
      </c>
      <c r="N8" s="9">
        <f t="shared" si="4"/>
        <v>86493.81143306023</v>
      </c>
      <c r="O8" s="9">
        <f t="shared" si="4"/>
        <v>88072.47579920047</v>
      </c>
    </row>
    <row r="9" spans="1:15" ht="93.75">
      <c r="A9" s="2" t="s">
        <v>9</v>
      </c>
      <c r="B9" s="9" t="e">
        <f>B42</f>
        <v>#REF!</v>
      </c>
      <c r="C9" s="9" t="e">
        <f aca="true" t="shared" si="5" ref="C9:O9">C42</f>
        <v>#REF!</v>
      </c>
      <c r="D9" s="9" t="e">
        <f t="shared" si="5"/>
        <v>#REF!</v>
      </c>
      <c r="E9" s="9">
        <f t="shared" si="5"/>
        <v>226915.5</v>
      </c>
      <c r="F9" s="9">
        <f t="shared" si="5"/>
        <v>183634</v>
      </c>
      <c r="G9" s="9">
        <f t="shared" si="5"/>
        <v>187351.7</v>
      </c>
      <c r="H9" s="9">
        <f t="shared" si="5"/>
        <v>193907.7</v>
      </c>
      <c r="I9" s="9">
        <f t="shared" si="5"/>
        <v>196877.73896</v>
      </c>
      <c r="J9" s="9">
        <f t="shared" si="5"/>
        <v>201019.07849609602</v>
      </c>
      <c r="K9" s="9">
        <f t="shared" si="5"/>
        <v>205312.89704556868</v>
      </c>
      <c r="L9" s="9">
        <f t="shared" si="5"/>
        <v>209320.56626311498</v>
      </c>
      <c r="M9" s="9">
        <f t="shared" si="5"/>
        <v>213421.8147932199</v>
      </c>
      <c r="N9" s="9">
        <f t="shared" si="5"/>
        <v>217860.79251156567</v>
      </c>
      <c r="O9" s="9">
        <f t="shared" si="5"/>
        <v>221550.19395540238</v>
      </c>
    </row>
    <row r="10" spans="1:15" ht="18.75">
      <c r="A10" s="2" t="s">
        <v>10</v>
      </c>
      <c r="B10" s="9" t="e">
        <f>B4-B9</f>
        <v>#REF!</v>
      </c>
      <c r="C10" s="9" t="e">
        <f aca="true" t="shared" si="6" ref="C10:O10">C4-C9</f>
        <v>#REF!</v>
      </c>
      <c r="D10" s="9" t="e">
        <f t="shared" si="6"/>
        <v>#REF!</v>
      </c>
      <c r="E10" s="9">
        <f t="shared" si="6"/>
        <v>1233.3999999999942</v>
      </c>
      <c r="F10" s="9">
        <f t="shared" si="6"/>
        <v>1223.6999999999825</v>
      </c>
      <c r="G10" s="9">
        <f t="shared" si="6"/>
        <v>51</v>
      </c>
      <c r="H10" s="9">
        <f t="shared" si="6"/>
        <v>-1600.7054697106942</v>
      </c>
      <c r="I10" s="9">
        <f t="shared" si="6"/>
        <v>-1632.6541587513348</v>
      </c>
      <c r="J10" s="9">
        <v>0</v>
      </c>
      <c r="K10" s="9">
        <f t="shared" si="6"/>
        <v>-1698.6202643619035</v>
      </c>
      <c r="L10" s="9">
        <f t="shared" si="6"/>
        <v>-1732.61513237888</v>
      </c>
      <c r="M10" s="9">
        <f t="shared" si="6"/>
        <v>-1506.7006133655668</v>
      </c>
      <c r="N10" s="9">
        <f t="shared" si="6"/>
        <v>-1536.766110642522</v>
      </c>
      <c r="O10" s="9">
        <f t="shared" si="6"/>
        <v>-758.271939692233</v>
      </c>
    </row>
    <row r="11" spans="1:15" ht="18.75">
      <c r="A11" s="2" t="s">
        <v>11</v>
      </c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4:15" ht="23.25">
      <c r="N12" s="86" t="s">
        <v>79</v>
      </c>
      <c r="O12" s="86"/>
    </row>
    <row r="13" spans="1:15" ht="18.75">
      <c r="A13" s="1" t="s">
        <v>0</v>
      </c>
      <c r="B13" s="1" t="s">
        <v>1</v>
      </c>
      <c r="C13" s="1" t="s">
        <v>2</v>
      </c>
      <c r="D13" s="1" t="s">
        <v>12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3</v>
      </c>
      <c r="M13" s="1" t="s">
        <v>14</v>
      </c>
      <c r="N13" s="1" t="s">
        <v>22</v>
      </c>
      <c r="O13" s="1" t="s">
        <v>3</v>
      </c>
    </row>
    <row r="14" spans="1:15" ht="75">
      <c r="A14" s="6" t="s">
        <v>23</v>
      </c>
      <c r="B14" s="9" t="e">
        <f>B15+B35</f>
        <v>#REF!</v>
      </c>
      <c r="C14" s="9" t="e">
        <f aca="true" t="shared" si="7" ref="C14:O14">C15+C35</f>
        <v>#REF!</v>
      </c>
      <c r="D14" s="9" t="e">
        <f t="shared" si="7"/>
        <v>#REF!</v>
      </c>
      <c r="E14" s="9">
        <f t="shared" si="7"/>
        <v>228148.9</v>
      </c>
      <c r="F14" s="9">
        <f t="shared" si="7"/>
        <v>184857.69999999998</v>
      </c>
      <c r="G14" s="9">
        <f t="shared" si="7"/>
        <v>187402.7</v>
      </c>
      <c r="H14" s="9">
        <f t="shared" si="7"/>
        <v>192306.99453028932</v>
      </c>
      <c r="I14" s="9">
        <f t="shared" si="7"/>
        <v>195245.08480124865</v>
      </c>
      <c r="J14" s="9">
        <f t="shared" si="7"/>
        <v>199353.67536384857</v>
      </c>
      <c r="K14" s="9">
        <f t="shared" si="7"/>
        <v>203614.27678120678</v>
      </c>
      <c r="L14" s="9">
        <f t="shared" si="7"/>
        <v>207587.9511307361</v>
      </c>
      <c r="M14" s="9">
        <f t="shared" si="7"/>
        <v>211915.11417985434</v>
      </c>
      <c r="N14" s="9">
        <f t="shared" si="7"/>
        <v>216324.02640092315</v>
      </c>
      <c r="O14" s="9">
        <f t="shared" si="7"/>
        <v>220791.92201571015</v>
      </c>
    </row>
    <row r="15" spans="1:15" ht="37.5">
      <c r="A15" s="6" t="s">
        <v>24</v>
      </c>
      <c r="B15" s="9" t="e">
        <f>B16+B27</f>
        <v>#REF!</v>
      </c>
      <c r="C15" s="9" t="e">
        <f aca="true" t="shared" si="8" ref="C15:O15">C16+C27</f>
        <v>#REF!</v>
      </c>
      <c r="D15" s="9" t="e">
        <f t="shared" si="8"/>
        <v>#REF!</v>
      </c>
      <c r="E15" s="9">
        <f t="shared" si="8"/>
        <v>106933.6</v>
      </c>
      <c r="F15" s="9">
        <f t="shared" si="8"/>
        <v>109512.59999999999</v>
      </c>
      <c r="G15" s="9">
        <f t="shared" si="8"/>
        <v>112066.5</v>
      </c>
      <c r="H15" s="9">
        <f t="shared" si="8"/>
        <v>114185.64186362264</v>
      </c>
      <c r="I15" s="9">
        <f t="shared" si="8"/>
        <v>116610.58885902644</v>
      </c>
      <c r="J15" s="9">
        <f t="shared" si="8"/>
        <v>119103.98720648559</v>
      </c>
      <c r="K15" s="9">
        <f t="shared" si="8"/>
        <v>121669.04579896812</v>
      </c>
      <c r="L15" s="9">
        <f t="shared" si="8"/>
        <v>124309.22633543707</v>
      </c>
      <c r="M15" s="9">
        <f t="shared" si="8"/>
        <v>127028.2680381692</v>
      </c>
      <c r="N15" s="9">
        <f t="shared" si="8"/>
        <v>129830.2149678629</v>
      </c>
      <c r="O15" s="9">
        <f t="shared" si="8"/>
        <v>132719.44621650968</v>
      </c>
    </row>
    <row r="16" spans="1:15" ht="19.5">
      <c r="A16" s="7" t="s">
        <v>25</v>
      </c>
      <c r="B16" s="9" t="e">
        <f>B17+B18+B19+B20+B21+B22+B23+B24+B25+B26</f>
        <v>#REF!</v>
      </c>
      <c r="C16" s="9" t="e">
        <f aca="true" t="shared" si="9" ref="C16:O16">C17+C18+C19+C20+C21+C22+C23+C24+C25+C26</f>
        <v>#REF!</v>
      </c>
      <c r="D16" s="9" t="e">
        <f t="shared" si="9"/>
        <v>#REF!</v>
      </c>
      <c r="E16" s="9">
        <f t="shared" si="9"/>
        <v>95261.6</v>
      </c>
      <c r="F16" s="9">
        <f t="shared" si="9"/>
        <v>97518.9</v>
      </c>
      <c r="G16" s="9">
        <f t="shared" si="9"/>
        <v>99780.9</v>
      </c>
      <c r="H16" s="9">
        <f t="shared" si="9"/>
        <v>101432.34599999999</v>
      </c>
      <c r="I16" s="9">
        <f t="shared" si="9"/>
        <v>103583.08399999999</v>
      </c>
      <c r="J16" s="9">
        <f t="shared" si="9"/>
        <v>105791.40173735998</v>
      </c>
      <c r="K16" s="9">
        <f t="shared" si="9"/>
        <v>108059.74260854191</v>
      </c>
      <c r="L16" s="9">
        <f t="shared" si="9"/>
        <v>110390.71935752837</v>
      </c>
      <c r="M16" s="9">
        <f t="shared" si="9"/>
        <v>112787.12907477154</v>
      </c>
      <c r="N16" s="9">
        <f t="shared" si="9"/>
        <v>115251.96963552132</v>
      </c>
      <c r="O16" s="9">
        <f t="shared" si="9"/>
        <v>117788.45771916972</v>
      </c>
    </row>
    <row r="17" spans="1:15" ht="18.75">
      <c r="A17" s="8" t="s">
        <v>26</v>
      </c>
      <c r="B17" s="9" t="e">
        <f>район!B16+ив!B16+мортки!B16+затеиха!#REF!+сеготь!B16+город!B19</f>
        <v>#REF!</v>
      </c>
      <c r="C17" s="9" t="e">
        <f>район!C16+ив!C16+мортки!C16+затеиха!#REF!+сеготь!C16+город!C19</f>
        <v>#REF!</v>
      </c>
      <c r="D17" s="9" t="e">
        <f>район!D16+ив!D16+мортки!D16+затеиха!#REF!+сеготь!D16+город!D19</f>
        <v>#REF!</v>
      </c>
      <c r="E17" s="9">
        <f>район!E16+ив!E16+мортки!E16+затеиха!B16+сеготь!E16+город!E19</f>
        <v>72232.8</v>
      </c>
      <c r="F17" s="9">
        <f>район!F16+ив!F16+мортки!F16+затеиха!C16+сеготь!F16+город!F19</f>
        <v>73418.5</v>
      </c>
      <c r="G17" s="9">
        <f>район!G16+ив!G16+мортки!G16+затеиха!D16+сеготь!G16+город!G19</f>
        <v>74476.4</v>
      </c>
      <c r="H17" s="9">
        <f>район!H16+ив!H16+мортки!H16+затеиха!E16+сеготь!H16+город!H19</f>
        <v>75965.92799999999</v>
      </c>
      <c r="I17" s="9">
        <f>район!I16+ив!I16+мортки!I16+затеиха!F16+сеготь!I16+город!I19</f>
        <v>77485.24656</v>
      </c>
      <c r="J17" s="9">
        <f>район!J16+ив!J16+мортки!J16+затеиха!G16+сеготь!J16+город!J19</f>
        <v>79034.9514912</v>
      </c>
      <c r="K17" s="9">
        <f>район!K16+ив!K16+мортки!K16+затеиха!H16+сеготь!K16+город!K19</f>
        <v>80615.65052102398</v>
      </c>
      <c r="L17" s="9">
        <f>район!L16+ив!L16+мортки!L16+затеиха!I16+сеготь!L16+город!L19</f>
        <v>82227.96353144449</v>
      </c>
      <c r="M17" s="9">
        <f>район!M16+ив!M16+мортки!M16+затеиха!J16+сеготь!M16+город!M19</f>
        <v>83872.52280207336</v>
      </c>
      <c r="N17" s="9">
        <f>район!N16+ив!N16+мортки!N16+затеиха!K16+сеготь!N16+город!N19</f>
        <v>85549.97325811483</v>
      </c>
      <c r="O17" s="9">
        <f>район!O16+ив!O16+мортки!O16+затеиха!L16+сеготь!O16+город!O19</f>
        <v>87260.97272327714</v>
      </c>
    </row>
    <row r="18" spans="1:15" ht="56.25">
      <c r="A18" s="8" t="s">
        <v>27</v>
      </c>
      <c r="B18" s="9" t="e">
        <f>район!B17+ив!B17+мортки!B17+затеиха!#REF!+сеготь!B17+город!B20</f>
        <v>#REF!</v>
      </c>
      <c r="C18" s="9" t="e">
        <f>район!C17+ив!C17+мортки!C17+затеиха!#REF!+сеготь!C17+город!C20</f>
        <v>#REF!</v>
      </c>
      <c r="D18" s="9" t="e">
        <f>район!D17+ив!D17+мортки!D17+затеиха!#REF!+сеготь!D17+город!D20</f>
        <v>#REF!</v>
      </c>
      <c r="E18" s="9">
        <f>район!E17+ив!E17+мортки!E17+затеиха!B17+сеготь!E17+город!E20</f>
        <v>13542.2</v>
      </c>
      <c r="F18" s="9">
        <f>район!F17+ив!F17+мортки!F17+затеиха!C17+сеготь!F17+город!F20</f>
        <v>14220.7</v>
      </c>
      <c r="G18" s="9">
        <f>район!G17+ив!G17+мортки!G17+затеиха!D17+сеготь!G17+город!G20</f>
        <v>15226.800000000001</v>
      </c>
      <c r="H18" s="9">
        <f>район!H17+ив!H17+мортки!H17+затеиха!E17+сеготь!H17+город!H20</f>
        <v>15597.774000000001</v>
      </c>
      <c r="I18" s="9">
        <f>район!I17+ив!I17+мортки!I17+затеиха!F17+сеготь!I17+город!I20</f>
        <v>15979.48938</v>
      </c>
      <c r="J18" s="9">
        <f>район!J17+ив!J17+мортки!J17+затеиха!G17+сеготь!J17+город!J20</f>
        <v>16372.327062600001</v>
      </c>
      <c r="K18" s="9">
        <f>район!K17+ив!K17+мортки!K17+затеиха!H17+сеготь!K17+город!K20</f>
        <v>16776.683893602003</v>
      </c>
      <c r="L18" s="9">
        <f>район!L17+ив!L17+мортки!L17+затеиха!I17+сеготь!L17+город!L20</f>
        <v>17192.973375711543</v>
      </c>
      <c r="M18" s="9">
        <f>район!M17+ив!M17+мортки!M17+затеиха!J17+сеготь!M17+город!M20</f>
        <v>17621.62643767515</v>
      </c>
      <c r="N18" s="9">
        <f>район!N17+ив!N17+мортки!N17+затеиха!K17+сеготь!N17+город!N20</f>
        <v>18063.092240600497</v>
      </c>
      <c r="O18" s="9">
        <f>район!O17+ив!O17+мортки!O17+затеиха!L17+сеготь!O17+город!O20</f>
        <v>18517.83902329294</v>
      </c>
    </row>
    <row r="19" spans="1:15" ht="56.25">
      <c r="A19" s="8" t="s">
        <v>30</v>
      </c>
      <c r="B19" s="9" t="e">
        <f>район!B18+ив!B18+мортки!B18+затеиха!#REF!+сеготь!B18+город!B21</f>
        <v>#REF!</v>
      </c>
      <c r="C19" s="9" t="e">
        <f>район!C18+ив!C18+мортки!C18+затеиха!#REF!+сеготь!C18+город!C21</f>
        <v>#REF!</v>
      </c>
      <c r="D19" s="9" t="e">
        <f>район!D18+ив!D18+мортки!D18+затеиха!#REF!+сеготь!D18+город!D21</f>
        <v>#REF!</v>
      </c>
      <c r="E19" s="9">
        <f>район!E18+ив!E18+мортки!E18+затеиха!B18+сеготь!E18+город!E21</f>
        <v>1600</v>
      </c>
      <c r="F19" s="9">
        <f>район!F18+ив!F18+мортки!F18+затеиха!C18+сеготь!F18+город!F21</f>
        <v>1600</v>
      </c>
      <c r="G19" s="9">
        <f>район!G18+ив!G18+мортки!G18+затеиха!D18+сеготь!G18+город!G21</f>
        <v>1600</v>
      </c>
      <c r="H19" s="9">
        <f>район!H18+ив!H18+мортки!H18+затеиха!E18+сеготь!H18+город!H21</f>
        <v>1632</v>
      </c>
      <c r="I19" s="9">
        <f>район!I18+ив!I18+мортки!I18+затеиха!F18+сеготь!I18+город!I21</f>
        <v>1664.64</v>
      </c>
      <c r="J19" s="9">
        <f>район!J18+ив!J18+мортки!J18+затеиха!G18+сеготь!J18+город!J21</f>
        <v>1697.9328</v>
      </c>
      <c r="K19" s="9">
        <f>район!K18+ив!K18+мортки!K18+затеиха!H18+сеготь!K18+город!K21</f>
        <v>1731.891456</v>
      </c>
      <c r="L19" s="9">
        <f>район!L18+ив!L18+мортки!L18+затеиха!I18+сеготь!L18+город!L21</f>
        <v>1766.5292851200002</v>
      </c>
      <c r="M19" s="9">
        <f>район!M18+ив!M18+мортки!M18+затеиха!J18+сеготь!M18+город!M21</f>
        <v>1801.8598708224001</v>
      </c>
      <c r="N19" s="9">
        <f>район!N18+ив!N18+мортки!N18+затеиха!K18+сеготь!N18+город!N21</f>
        <v>1837.897068238848</v>
      </c>
      <c r="O19" s="9">
        <f>район!O18+ив!O18+мортки!O18+затеиха!L18+сеготь!O18+город!O21</f>
        <v>1874.655009603625</v>
      </c>
    </row>
    <row r="20" spans="1:15" ht="37.5">
      <c r="A20" s="8" t="s">
        <v>29</v>
      </c>
      <c r="B20" s="9" t="e">
        <f>район!B19+ив!B19+мортки!B19+затеиха!#REF!+сеготь!B19+город!B22</f>
        <v>#REF!</v>
      </c>
      <c r="C20" s="9" t="e">
        <f>район!C19+ив!C19+мортки!C19+затеиха!#REF!+сеготь!C19+город!C22</f>
        <v>#REF!</v>
      </c>
      <c r="D20" s="9" t="e">
        <f>район!D19+ив!D19+мортки!D19+затеиха!#REF!+сеготь!D19+город!D22</f>
        <v>#REF!</v>
      </c>
      <c r="E20" s="9">
        <f>район!E19+ив!E19+мортки!E19+затеиха!B19+сеготь!E19+город!E22</f>
        <v>311.6</v>
      </c>
      <c r="F20" s="9">
        <f>район!F19+ив!F19+мортки!F19+затеиха!C19+сеготь!F19+город!F22</f>
        <v>341.7</v>
      </c>
      <c r="G20" s="9">
        <f>район!G19+ив!G19+мортки!G19+затеиха!D19+сеготь!G19+город!G22</f>
        <v>381.7</v>
      </c>
      <c r="H20" s="9">
        <f>район!H19+ив!H19+мортки!H19+затеиха!E19+сеготь!H19+город!H22</f>
        <v>389.33399999999995</v>
      </c>
      <c r="I20" s="9">
        <f>район!I19+ив!I19+мортки!I19+затеиха!F19+сеготь!I19+город!I22</f>
        <v>397.12068</v>
      </c>
      <c r="J20" s="9">
        <f>район!J19+ив!J19+мортки!J19+затеиха!G19+сеготь!J19+город!J22</f>
        <v>405.0630936</v>
      </c>
      <c r="K20" s="9">
        <f>район!K19+ив!K19+мортки!K19+затеиха!H19+сеготь!K19+город!K22</f>
        <v>413.164355472</v>
      </c>
      <c r="L20" s="9">
        <f>район!L19+ив!L19+мортки!L19+затеиха!I19+сеготь!L19+город!L22</f>
        <v>421.42764258144007</v>
      </c>
      <c r="M20" s="9">
        <f>район!M19+ив!M19+мортки!M19+затеиха!J19+сеготь!M19+город!M22</f>
        <v>429.8561954330688</v>
      </c>
      <c r="N20" s="9">
        <f>район!N19+ив!N19+мортки!N19+затеиха!K19+сеготь!N19+город!N22</f>
        <v>438.45331934173026</v>
      </c>
      <c r="O20" s="9">
        <f>район!O19+ив!O19+мортки!O19+затеиха!L19+сеготь!O19+город!O22</f>
        <v>447.22238572856486</v>
      </c>
    </row>
    <row r="21" spans="1:15" ht="56.25">
      <c r="A21" s="8" t="s">
        <v>30</v>
      </c>
      <c r="B21" s="9" t="e">
        <f>район!B20+ив!B20+мортки!B20+затеиха!#REF!+сеготь!B20+город!B23</f>
        <v>#REF!</v>
      </c>
      <c r="C21" s="9" t="e">
        <f>район!C20+ив!C20+мортки!C20+затеиха!#REF!+сеготь!C20+город!C23</f>
        <v>#REF!</v>
      </c>
      <c r="D21" s="9" t="e">
        <f>район!D20+ив!D20+мортки!D20+затеиха!#REF!+сеготь!D20+город!D23</f>
        <v>#REF!</v>
      </c>
      <c r="E21" s="9">
        <f>район!E20+ив!E20+мортки!E20+затеиха!B20+сеготь!E20+город!E23</f>
        <v>1000</v>
      </c>
      <c r="F21" s="9">
        <f>район!F20+ив!F20+мортки!F20+затеиха!C20+сеготь!F20+город!F23</f>
        <v>1235</v>
      </c>
      <c r="G21" s="9">
        <f>район!G20+ив!G20+мортки!G20+затеиха!D20+сеготь!G20+город!G23</f>
        <v>1270</v>
      </c>
      <c r="H21" s="9">
        <f>район!H20+ив!H20+мортки!H20+затеиха!E20+сеготь!H20+город!H23</f>
        <v>1397</v>
      </c>
      <c r="I21" s="9">
        <f>район!I20+ив!I20+мортки!I20+затеиха!F20+сеготь!I20+город!I23</f>
        <v>1536.7</v>
      </c>
      <c r="J21" s="9">
        <f>район!J20+ив!J20+мортки!J20+затеиха!G20+сеготь!J20+город!J23</f>
        <v>1690.3700000000001</v>
      </c>
      <c r="K21" s="9">
        <f>район!K20+ив!K20+мортки!K20+затеиха!H20+сеготь!K20+город!K23</f>
        <v>1859.4070000000004</v>
      </c>
      <c r="L21" s="9">
        <f>район!L20+ив!L20+мортки!L20+затеиха!I20+сеготь!L20+город!L23</f>
        <v>2045.3477000000005</v>
      </c>
      <c r="M21" s="9">
        <f>район!M20+ив!M20+мортки!M20+затеиха!J20+сеготь!M20+город!M23</f>
        <v>2249.882470000001</v>
      </c>
      <c r="N21" s="9">
        <f>район!N20+ив!N20+мортки!N20+затеиха!K20+сеготь!N20+город!N23</f>
        <v>2474.870717000001</v>
      </c>
      <c r="O21" s="9">
        <f>район!O20+ив!O20+мортки!O20+затеиха!L20+сеготь!O20+город!O23</f>
        <v>2722.3577887000015</v>
      </c>
    </row>
    <row r="22" spans="1:15" ht="37.5">
      <c r="A22" s="8" t="s">
        <v>31</v>
      </c>
      <c r="B22" s="9" t="e">
        <f>район!B21+ив!B21+мортки!B21+затеиха!#REF!+сеготь!B21+город!B24</f>
        <v>#REF!</v>
      </c>
      <c r="C22" s="9" t="e">
        <f>район!C21+ив!C21+мортки!C21+затеиха!#REF!+сеготь!C21+город!C24</f>
        <v>#REF!</v>
      </c>
      <c r="D22" s="9" t="e">
        <f>район!D21+ив!D21+мортки!D21+затеиха!#REF!+сеготь!D21+город!D24</f>
        <v>#REF!</v>
      </c>
      <c r="E22" s="9">
        <f>район!E21+ив!E21+мортки!E21+затеиха!B21+сеготь!E21+город!E24</f>
        <v>1228</v>
      </c>
      <c r="F22" s="9">
        <f>район!F21+ив!F21+мортки!F21+затеиха!C21+сеготь!F21+город!F24</f>
        <v>1248</v>
      </c>
      <c r="G22" s="9">
        <f>район!G21+ив!G21+мортки!G21+затеиха!D21+сеготь!G21+город!G24</f>
        <v>1278</v>
      </c>
      <c r="H22" s="9">
        <f>район!H21+ив!H21+мортки!H21+затеиха!E21+сеготь!H21+город!H24</f>
        <v>840.76</v>
      </c>
      <c r="I22" s="9">
        <f>район!I21+ив!I21+мортки!I21+затеиха!F21+сеготь!I21+город!I24</f>
        <v>847.6551999999999</v>
      </c>
      <c r="J22" s="9">
        <f>район!J21+ив!J21+мортки!J21+затеиха!G21+сеготь!J21+город!J24</f>
        <v>854.688304</v>
      </c>
      <c r="K22" s="9">
        <f>район!K21+ив!K21+мортки!K21+затеиха!H21+сеготь!K21+город!K24</f>
        <v>861.86207008</v>
      </c>
      <c r="L22" s="9">
        <f>район!L21+ив!L21+мортки!L21+затеиха!I21+сеготь!L21+город!L24</f>
        <v>869.1793114816</v>
      </c>
      <c r="M22" s="9">
        <f>район!M21+ив!M21+мортки!M21+затеиха!J21+сеготь!M21+город!M24</f>
        <v>876.6428977112321</v>
      </c>
      <c r="N22" s="9">
        <f>район!N21+ив!N21+мортки!N21+затеиха!K21+сеготь!N21+город!N24</f>
        <v>884.2557556654567</v>
      </c>
      <c r="O22" s="9">
        <f>район!O21+ив!O21+мортки!O21+затеиха!L21+сеготь!O21+город!O24</f>
        <v>892.0208707787658</v>
      </c>
    </row>
    <row r="23" spans="1:15" ht="18.75">
      <c r="A23" s="8" t="s">
        <v>32</v>
      </c>
      <c r="B23" s="9" t="e">
        <f>район!B22+ив!B22+мортки!B22+затеиха!#REF!+сеготь!B22+город!B25</f>
        <v>#REF!</v>
      </c>
      <c r="C23" s="9" t="e">
        <f>район!C22+ив!C22+мортки!C22+затеиха!#REF!+сеготь!C22+город!C25</f>
        <v>#REF!</v>
      </c>
      <c r="D23" s="9" t="e">
        <f>район!D22+ив!D22+мортки!D22+затеиха!#REF!+сеготь!D22+город!D25</f>
        <v>#REF!</v>
      </c>
      <c r="E23" s="9">
        <f>район!E22+ив!E22+мортки!E22+затеиха!B22+сеготь!E22+город!E25</f>
        <v>4147</v>
      </c>
      <c r="F23" s="9">
        <f>район!F22+ив!F22+мортки!F22+затеиха!C22+сеготь!F22+город!F25</f>
        <v>4205</v>
      </c>
      <c r="G23" s="9">
        <f>район!G22+ив!G22+мортки!G22+затеиха!D22+сеготь!G22+город!G25</f>
        <v>4248</v>
      </c>
      <c r="H23" s="9">
        <f>район!H22+ив!H22+мортки!H22+затеиха!E22+сеготь!H22+город!H25</f>
        <v>4283.549999999999</v>
      </c>
      <c r="I23" s="9">
        <f>район!I22+ив!I22+мортки!I22+затеиха!F22+сеготь!I22+город!I25</f>
        <v>4319.7121799999995</v>
      </c>
      <c r="J23" s="9">
        <f>район!J22+ив!J22+мортки!J22+затеиха!G22+сеготь!J22+город!J25</f>
        <v>4356.49858596</v>
      </c>
      <c r="K23" s="9">
        <f>район!K22+ив!K22+мортки!K22+затеиха!H22+сеготь!K22+город!K25</f>
        <v>4393.92150436392</v>
      </c>
      <c r="L23" s="9">
        <f>район!L22+ив!L22+мортки!L22+затеиха!I22+сеготь!L22+город!L25</f>
        <v>4431.993467029288</v>
      </c>
      <c r="M23" s="9">
        <f>район!M22+ив!M22+мортки!M22+затеиха!J22+сеготь!M22+город!M25</f>
        <v>4470.727256013119</v>
      </c>
      <c r="N23" s="9">
        <f>район!N22+ив!N22+мортки!N22+затеиха!K22+сеготь!N22+город!N25</f>
        <v>4510.135908615914</v>
      </c>
      <c r="O23" s="9">
        <f>район!O22+ив!O22+мортки!O22+затеиха!L22+сеготь!O22+город!O25</f>
        <v>4550.232722485729</v>
      </c>
    </row>
    <row r="24" spans="1:15" ht="56.25">
      <c r="A24" s="8" t="s">
        <v>33</v>
      </c>
      <c r="B24" s="9" t="e">
        <f>район!B23+ив!B23+мортки!B23+затеиха!#REF!+сеготь!B23+город!B26</f>
        <v>#REF!</v>
      </c>
      <c r="C24" s="9" t="e">
        <f>район!C23+ив!C23+мортки!C23+затеиха!#REF!+сеготь!C23+город!C26</f>
        <v>#REF!</v>
      </c>
      <c r="D24" s="9" t="e">
        <f>район!D23+ив!D23+мортки!D23+затеиха!#REF!+сеготь!D23+город!D26</f>
        <v>#REF!</v>
      </c>
      <c r="E24" s="9">
        <f>район!E23+ив!E23+мортки!E23+затеиха!B23+сеготь!E23+город!E26</f>
        <v>0</v>
      </c>
      <c r="F24" s="9">
        <f>район!F23+ив!F23+мортки!F23+затеиха!C23+сеготь!F23+город!F26</f>
        <v>0</v>
      </c>
      <c r="G24" s="9">
        <f>район!G23+ив!G23+мортки!G23+затеиха!D23+сеготь!G23+город!G26</f>
        <v>0</v>
      </c>
      <c r="H24" s="9">
        <f>район!H23+ив!H23+мортки!H23+затеиха!E23+сеготь!H23+город!H26</f>
        <v>0</v>
      </c>
      <c r="I24" s="9">
        <f>район!I23+ив!I23+мортки!I23+затеиха!F23+сеготь!I23+город!I26</f>
        <v>0</v>
      </c>
      <c r="J24" s="9">
        <f>район!J23+ив!J23+мортки!J23+затеиха!G23+сеготь!J23+город!J26</f>
        <v>0</v>
      </c>
      <c r="K24" s="9">
        <f>район!K23+ив!K23+мортки!K23+затеиха!H23+сеготь!K23+город!K26</f>
        <v>0</v>
      </c>
      <c r="L24" s="9">
        <f>район!L23+ив!L23+мортки!L23+затеиха!I23+сеготь!L23+город!L26</f>
        <v>0</v>
      </c>
      <c r="M24" s="9">
        <f>район!M23+ив!M23+мортки!M23+затеиха!J23+сеготь!M23+город!M26</f>
        <v>0</v>
      </c>
      <c r="N24" s="9">
        <f>район!N23+ив!N23+мортки!N23+затеиха!K23+сеготь!N23+город!N26</f>
        <v>0</v>
      </c>
      <c r="O24" s="9">
        <f>район!O23+ив!O23+мортки!O23+затеиха!L23+сеготь!O23+город!O26</f>
        <v>0</v>
      </c>
    </row>
    <row r="25" spans="1:15" ht="18.75">
      <c r="A25" s="8" t="s">
        <v>34</v>
      </c>
      <c r="B25" s="9" t="e">
        <f>район!B24+ив!B24+мортки!B24+затеиха!#REF!+сеготь!B24+город!B27</f>
        <v>#REF!</v>
      </c>
      <c r="C25" s="9" t="e">
        <f>район!C24+ив!C24+мортки!C24+затеиха!#REF!+сеготь!C24+город!C27</f>
        <v>#REF!</v>
      </c>
      <c r="D25" s="9" t="e">
        <f>район!D24+ив!D24+мортки!D24+затеиха!#REF!+сеготь!D24+город!D27</f>
        <v>#REF!</v>
      </c>
      <c r="E25" s="9">
        <f>район!E24+ив!E24+мортки!E24+затеиха!B24+сеготь!E24+город!E27</f>
        <v>1200</v>
      </c>
      <c r="F25" s="9">
        <f>район!F24+ив!F24+мортки!F24+затеиха!C24+сеготь!F24+город!F27</f>
        <v>1250</v>
      </c>
      <c r="G25" s="9">
        <f>район!G24+ив!G24+мортки!G24+затеиха!D24+сеготь!G24+город!G27</f>
        <v>1300</v>
      </c>
      <c r="H25" s="9">
        <f>район!H24+ив!H24+мортки!H24+затеиха!E24+сеготь!H24+город!H27</f>
        <v>1326</v>
      </c>
      <c r="I25" s="9">
        <f>район!I24+ив!I24+мортки!I24+затеиха!F24+сеготь!I24+город!I27</f>
        <v>1352.52</v>
      </c>
      <c r="J25" s="9">
        <f>район!J24+ив!J24+мортки!J24+затеиха!G24+сеготь!J24+город!J27</f>
        <v>1379.5704</v>
      </c>
      <c r="K25" s="9">
        <f>район!K24+ив!K24+мортки!K24+затеиха!H24+сеготь!K24+город!K27</f>
        <v>1407.161808</v>
      </c>
      <c r="L25" s="9">
        <f>район!L24+ив!L24+мортки!L24+затеиха!I24+сеготь!L24+город!L27</f>
        <v>1435.30504416</v>
      </c>
      <c r="M25" s="9">
        <f>район!M24+ив!M24+мортки!M24+затеиха!J24+сеготь!M24+город!M27</f>
        <v>1464.0111450432</v>
      </c>
      <c r="N25" s="9">
        <f>район!N24+ив!N24+мортки!N24+затеиха!K24+сеготь!N24+город!N27</f>
        <v>1493.291367944064</v>
      </c>
      <c r="O25" s="9">
        <f>район!O24+ив!O24+мортки!O24+затеиха!L24+сеготь!O24+город!O27</f>
        <v>1523.1571953029452</v>
      </c>
    </row>
    <row r="26" spans="1:15" ht="56.25">
      <c r="A26" s="8" t="s">
        <v>35</v>
      </c>
      <c r="B26" s="9" t="e">
        <f>район!B25+ив!B25+мортки!B25+затеиха!#REF!+сеготь!B25+город!B28</f>
        <v>#REF!</v>
      </c>
      <c r="C26" s="9" t="e">
        <f>район!C25+ив!C25+мортки!C25+затеиха!#REF!+сеготь!C25+город!C28</f>
        <v>#REF!</v>
      </c>
      <c r="D26" s="9" t="e">
        <f>район!D25+ив!D25+мортки!D25+затеиха!#REF!+сеготь!D25+город!D28</f>
        <v>#REF!</v>
      </c>
      <c r="E26" s="9">
        <f>район!E25+ив!E25+мортки!E25+затеиха!B25+сеготь!E25+город!E28</f>
        <v>0</v>
      </c>
      <c r="F26" s="9">
        <f>район!F25+ив!F25+мортки!F25+затеиха!C25+сеготь!F25+город!F28</f>
        <v>0</v>
      </c>
      <c r="G26" s="9">
        <f>район!G25+ив!G25+мортки!G25+затеиха!D25+сеготь!G25+город!G28</f>
        <v>0</v>
      </c>
      <c r="H26" s="9">
        <f>район!H25+ив!H25+мортки!H25+затеиха!E25+сеготь!H25+город!H28</f>
        <v>0</v>
      </c>
      <c r="I26" s="9">
        <f>район!I25+ив!I25+мортки!I25+затеиха!F25+сеготь!I25+город!I28</f>
        <v>0</v>
      </c>
      <c r="J26" s="9">
        <f>район!J25+ив!J25+мортки!J25+затеиха!G25+сеготь!J25+город!J28</f>
        <v>0</v>
      </c>
      <c r="K26" s="9">
        <f>район!K25+ив!K25+мортки!K25+затеиха!H25+сеготь!K25+город!K28</f>
        <v>0</v>
      </c>
      <c r="L26" s="9">
        <f>район!L25+ив!L25+мортки!L25+затеиха!I25+сеготь!L25+город!L28</f>
        <v>0</v>
      </c>
      <c r="M26" s="9">
        <f>район!M25+ив!M25+мортки!M25+затеиха!J25+сеготь!M25+город!M28</f>
        <v>0</v>
      </c>
      <c r="N26" s="9">
        <f>район!N25+ив!N25+мортки!N25+затеиха!K25+сеготь!N25+город!N28</f>
        <v>0</v>
      </c>
      <c r="O26" s="9">
        <f>район!O25+ив!O25+мортки!O25+затеиха!L25+сеготь!O25+город!O28</f>
        <v>0</v>
      </c>
    </row>
    <row r="27" spans="1:15" ht="19.5">
      <c r="A27" s="7" t="s">
        <v>36</v>
      </c>
      <c r="B27" s="9" t="e">
        <f>B28+B29+B30+B31+B32+B33+B34</f>
        <v>#REF!</v>
      </c>
      <c r="C27" s="9" t="e">
        <f aca="true" t="shared" si="10" ref="C27:O27">C28+C29+C30+C31+C32+C33+C34</f>
        <v>#REF!</v>
      </c>
      <c r="D27" s="9" t="e">
        <f t="shared" si="10"/>
        <v>#REF!</v>
      </c>
      <c r="E27" s="9">
        <f t="shared" si="10"/>
        <v>11672.000000000002</v>
      </c>
      <c r="F27" s="9">
        <f t="shared" si="10"/>
        <v>11993.700000000003</v>
      </c>
      <c r="G27" s="9">
        <f t="shared" si="10"/>
        <v>12285.600000000002</v>
      </c>
      <c r="H27" s="9">
        <f t="shared" si="10"/>
        <v>12753.295863622652</v>
      </c>
      <c r="I27" s="9">
        <f t="shared" si="10"/>
        <v>13027.504859026441</v>
      </c>
      <c r="J27" s="9">
        <f t="shared" si="10"/>
        <v>13312.585469125608</v>
      </c>
      <c r="K27" s="9">
        <f t="shared" si="10"/>
        <v>13609.303190426195</v>
      </c>
      <c r="L27" s="9">
        <f t="shared" si="10"/>
        <v>13918.506977908693</v>
      </c>
      <c r="M27" s="9">
        <f t="shared" si="10"/>
        <v>14241.138963397665</v>
      </c>
      <c r="N27" s="9">
        <f t="shared" si="10"/>
        <v>14578.245332341588</v>
      </c>
      <c r="O27" s="9">
        <f t="shared" si="10"/>
        <v>14930.988497339975</v>
      </c>
    </row>
    <row r="28" spans="1:15" ht="75">
      <c r="A28" s="8" t="s">
        <v>37</v>
      </c>
      <c r="B28" s="9" t="e">
        <f>район!B27+ив!B27+мортки!B27+затеиха!#REF!+сеготь!B27+город!B30</f>
        <v>#REF!</v>
      </c>
      <c r="C28" s="9" t="e">
        <f>район!C27+ив!C27+мортки!C27+затеиха!#REF!+сеготь!C27+город!C30</f>
        <v>#REF!</v>
      </c>
      <c r="D28" s="9" t="e">
        <f>район!D27+ив!D27+мортки!D27+затеиха!#REF!+сеготь!D27+город!D30</f>
        <v>#REF!</v>
      </c>
      <c r="E28" s="9">
        <f>район!E27+ив!E27+мортки!E27+затеиха!B27+сеготь!E27+город!E30</f>
        <v>2400.3</v>
      </c>
      <c r="F28" s="9">
        <f>район!F27+ив!F27+мортки!F27+затеиха!C27+сеготь!F27+город!F30</f>
        <v>2453.3</v>
      </c>
      <c r="G28" s="9">
        <f>район!G27+ив!G27+мортки!G27+затеиха!D27+сеготь!G27+город!G30</f>
        <v>2473.3</v>
      </c>
      <c r="H28" s="9">
        <f>район!H27+ив!H27+мортки!H27+затеиха!E27+сеготь!H27+город!H30</f>
        <v>2742.749863622652</v>
      </c>
      <c r="I28" s="9">
        <f>район!I27+ив!I27+мортки!I27+затеиха!F27+сеготь!I27+город!I30</f>
        <v>2814.5479390264386</v>
      </c>
      <c r="J28" s="9">
        <f>район!J27+ив!J27+мортки!J27+затеиха!G27+сеготь!J27+город!J30</f>
        <v>2892.9494107256073</v>
      </c>
      <c r="K28" s="9">
        <f>район!K27+ив!K27+мортки!K27+затеиха!H27+сеготь!K27+город!K30</f>
        <v>2978.612410858196</v>
      </c>
      <c r="L28" s="9">
        <f>район!L27+ив!L27+мортки!L27+затеиха!I27+сеготь!L27+город!L30</f>
        <v>3072.274182749331</v>
      </c>
      <c r="M28" s="9">
        <f>район!M27+ив!M27+мортки!M27+затеиха!J27+сеготь!M27+город!M30</f>
        <v>3174.760492335117</v>
      </c>
      <c r="N28" s="9">
        <f>район!N27+ив!N27+мортки!N27+затеиха!K27+сеготь!N27+город!N30</f>
        <v>3286.996169857788</v>
      </c>
      <c r="O28" s="9">
        <f>район!O27+ив!O27+мортки!O27+затеиха!L27+сеготь!O27+город!O30</f>
        <v>3410.016917406499</v>
      </c>
    </row>
    <row r="29" spans="1:15" ht="37.5">
      <c r="A29" s="8" t="s">
        <v>38</v>
      </c>
      <c r="B29" s="9">
        <f>район!B28</f>
        <v>428</v>
      </c>
      <c r="C29" s="9">
        <f>район!C28</f>
        <v>436.56</v>
      </c>
      <c r="D29" s="9">
        <f>район!D28</f>
        <v>445.2912</v>
      </c>
      <c r="E29" s="9">
        <f>район!E28</f>
        <v>163.9</v>
      </c>
      <c r="F29" s="9">
        <f>район!F28</f>
        <v>170.4</v>
      </c>
      <c r="G29" s="9">
        <f>район!G28</f>
        <v>177.3</v>
      </c>
      <c r="H29" s="9">
        <f>район!H28</f>
        <v>180.846</v>
      </c>
      <c r="I29" s="9">
        <f>район!I28</f>
        <v>184.46292</v>
      </c>
      <c r="J29" s="9">
        <f>район!J28</f>
        <v>188.1521784</v>
      </c>
      <c r="K29" s="9">
        <f>район!K28</f>
        <v>191.915221968</v>
      </c>
      <c r="L29" s="9">
        <f>район!L28</f>
        <v>195.75352640736</v>
      </c>
      <c r="M29" s="9">
        <f>район!M28</f>
        <v>199.6685969355072</v>
      </c>
      <c r="N29" s="9">
        <f>район!N28</f>
        <v>203.66196887421734</v>
      </c>
      <c r="O29" s="9">
        <f>район!O28</f>
        <v>207.7352082517017</v>
      </c>
    </row>
    <row r="30" spans="1:15" ht="56.25">
      <c r="A30" s="8" t="s">
        <v>39</v>
      </c>
      <c r="B30" s="9" t="e">
        <f>район!B29+ив!B29+мортки!B29+затеиха!#REF!+сеготь!B29+город!B34</f>
        <v>#REF!</v>
      </c>
      <c r="C30" s="9" t="e">
        <f>район!C29+ив!C29+мортки!C29+затеиха!#REF!+сеготь!C29+город!C34</f>
        <v>#REF!</v>
      </c>
      <c r="D30" s="9" t="e">
        <f>район!D29+ив!D29+мортки!D29+затеиха!#REF!+сеготь!D29+город!D34</f>
        <v>#REF!</v>
      </c>
      <c r="E30" s="9">
        <f>район!E29+ив!E29+мортки!E29+затеиха!B29+сеготь!E29+город!E34</f>
        <v>8834.2</v>
      </c>
      <c r="F30" s="9">
        <f>район!F29+ив!F29+мортки!F29+затеиха!C29+сеготь!F29+город!F34</f>
        <v>9104.400000000001</v>
      </c>
      <c r="G30" s="9">
        <f>район!G29+ив!G29+мортки!G29+затеиха!D29+сеготь!G29+город!G34</f>
        <v>9378.400000000001</v>
      </c>
      <c r="H30" s="9">
        <f>район!H29+ив!H29+мортки!H29+затеиха!E29+сеготь!H29+город!H34</f>
        <v>9565.968</v>
      </c>
      <c r="I30" s="9">
        <f>район!I29+ив!I29+мортки!I29+затеиха!F29+сеготь!I29+город!I34</f>
        <v>9757.287360000002</v>
      </c>
      <c r="J30" s="9">
        <f>район!J29+ив!J29+мортки!J29+затеиха!G29+сеготь!J29+город!J34</f>
        <v>9952.4331072</v>
      </c>
      <c r="K30" s="9">
        <f>район!K29+ив!K29+мортки!K29+затеиха!H29+сеготь!K29+город!K34</f>
        <v>10151.481769344</v>
      </c>
      <c r="L30" s="9">
        <f>район!L29+ив!L29+мортки!L29+затеиха!I29+сеготь!L29+город!L34</f>
        <v>10354.511404730882</v>
      </c>
      <c r="M30" s="9">
        <f>район!M29+ив!M29+мортки!M29+затеиха!J29+сеготь!M29+город!M34</f>
        <v>10561.6016328255</v>
      </c>
      <c r="N30" s="9">
        <f>район!N29+ив!N29+мортки!N29+затеиха!K29+сеготь!N29+город!N34</f>
        <v>10772.833665482009</v>
      </c>
      <c r="O30" s="9">
        <f>район!O29+ив!O29+мортки!O29+затеиха!L29+сеготь!O29+город!O34</f>
        <v>10988.29033879165</v>
      </c>
    </row>
    <row r="31" spans="1:15" ht="37.5">
      <c r="A31" s="8" t="s">
        <v>40</v>
      </c>
      <c r="B31" s="9">
        <f>район!B30+мортки!B30+город!B35</f>
        <v>1062.6</v>
      </c>
      <c r="C31" s="9">
        <f>район!C30+мортки!C30+город!C35</f>
        <v>1171.64</v>
      </c>
      <c r="D31" s="9">
        <f>район!D30+мортки!D30+город!D35</f>
        <v>1284.296</v>
      </c>
      <c r="E31" s="9">
        <f>район!E30+мортки!E30+город!E35</f>
        <v>190</v>
      </c>
      <c r="F31" s="9">
        <f>район!F30+мортки!F30+город!F35</f>
        <v>192</v>
      </c>
      <c r="G31" s="9">
        <f>район!G30+мортки!G30+город!G35</f>
        <v>193</v>
      </c>
      <c r="H31" s="9">
        <f>район!H30+мортки!H30+город!H35</f>
        <v>198.86</v>
      </c>
      <c r="I31" s="9">
        <f>район!I30+мортки!I30+город!I35</f>
        <v>205.0372</v>
      </c>
      <c r="J31" s="9">
        <f>район!J30+мортки!J30+город!J35</f>
        <v>211.55794400000002</v>
      </c>
      <c r="K31" s="9">
        <f>район!K30+мортки!K30+город!K35</f>
        <v>218.45110288000004</v>
      </c>
      <c r="L31" s="9">
        <f>район!L30+мортки!L30+город!L35</f>
        <v>225.74832493760005</v>
      </c>
      <c r="M31" s="9">
        <f>район!M30+мортки!M30+город!M35</f>
        <v>233.48431143635204</v>
      </c>
      <c r="N31" s="9">
        <f>район!N30+мортки!N30+город!N35</f>
        <v>241.69711966507907</v>
      </c>
      <c r="O31" s="9">
        <f>район!O30+мортки!O30+город!O35</f>
        <v>250.42849625838068</v>
      </c>
    </row>
    <row r="32" spans="1:15" ht="37.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37.5">
      <c r="A33" s="8" t="s">
        <v>42</v>
      </c>
      <c r="B33" s="9">
        <f>район!B32+город!B37</f>
        <v>870.9</v>
      </c>
      <c r="C33" s="9">
        <f>район!C32+город!C37</f>
        <v>888.318</v>
      </c>
      <c r="D33" s="9">
        <f>район!D32+город!D37</f>
        <v>906.08436</v>
      </c>
      <c r="E33" s="9">
        <f>район!E32+город!E37</f>
        <v>83.6</v>
      </c>
      <c r="F33" s="9">
        <f>район!F32+город!F37</f>
        <v>73.6</v>
      </c>
      <c r="G33" s="9">
        <f>район!G32+город!G37</f>
        <v>63.6</v>
      </c>
      <c r="H33" s="9">
        <f>район!H32+город!H37</f>
        <v>64.872</v>
      </c>
      <c r="I33" s="9">
        <f>район!I32+город!I37</f>
        <v>66.16944</v>
      </c>
      <c r="J33" s="9">
        <f>район!J32+город!J37</f>
        <v>67.4928288</v>
      </c>
      <c r="K33" s="9">
        <f>район!K32+город!K37</f>
        <v>68.842685376</v>
      </c>
      <c r="L33" s="9">
        <f>район!L32+город!L37</f>
        <v>70.21953908352</v>
      </c>
      <c r="M33" s="9">
        <f>район!M32+город!M37</f>
        <v>71.6239298651904</v>
      </c>
      <c r="N33" s="9">
        <f>район!N32+город!N37</f>
        <v>73.05640846249422</v>
      </c>
      <c r="O33" s="9">
        <f>район!O32+город!O37</f>
        <v>74.51753663174411</v>
      </c>
    </row>
    <row r="34" spans="1:15" ht="18.75">
      <c r="A34" s="8" t="s">
        <v>43</v>
      </c>
      <c r="B34" s="9">
        <f>город!B38</f>
        <v>170</v>
      </c>
      <c r="C34" s="9">
        <f>город!C38</f>
        <v>153</v>
      </c>
      <c r="D34" s="9">
        <f>город!D38</f>
        <v>137.70000000000002</v>
      </c>
      <c r="E34" s="9">
        <f>город!E38</f>
        <v>0</v>
      </c>
      <c r="F34" s="9">
        <f>город!F38</f>
        <v>0</v>
      </c>
      <c r="G34" s="9">
        <f>город!G38</f>
        <v>0</v>
      </c>
      <c r="H34" s="9">
        <f>город!H38</f>
        <v>0</v>
      </c>
      <c r="I34" s="9">
        <f>город!I38</f>
        <v>0</v>
      </c>
      <c r="J34" s="9">
        <f>город!J38</f>
        <v>0</v>
      </c>
      <c r="K34" s="9">
        <f>город!K38</f>
        <v>0</v>
      </c>
      <c r="L34" s="9">
        <f>город!L38</f>
        <v>0</v>
      </c>
      <c r="M34" s="9">
        <f>город!M38</f>
        <v>0</v>
      </c>
      <c r="N34" s="9">
        <f>город!N38</f>
        <v>0</v>
      </c>
      <c r="O34" s="9">
        <f>город!O38</f>
        <v>0</v>
      </c>
    </row>
    <row r="35" spans="1:15" ht="75">
      <c r="A35" s="6" t="s">
        <v>44</v>
      </c>
      <c r="B35" s="9" t="e">
        <f>B36+B37+B38+B39</f>
        <v>#REF!</v>
      </c>
      <c r="C35" s="9" t="e">
        <f aca="true" t="shared" si="11" ref="C35:O35">C36+C37+C38+C39</f>
        <v>#REF!</v>
      </c>
      <c r="D35" s="9" t="e">
        <f t="shared" si="11"/>
        <v>#REF!</v>
      </c>
      <c r="E35" s="9">
        <f t="shared" si="11"/>
        <v>121215.29999999999</v>
      </c>
      <c r="F35" s="9">
        <f t="shared" si="11"/>
        <v>75345.09999999999</v>
      </c>
      <c r="G35" s="9">
        <f t="shared" si="11"/>
        <v>75336.2</v>
      </c>
      <c r="H35" s="9">
        <f t="shared" si="11"/>
        <v>78121.35266666667</v>
      </c>
      <c r="I35" s="9">
        <f t="shared" si="11"/>
        <v>78634.49594222222</v>
      </c>
      <c r="J35" s="9">
        <f t="shared" si="11"/>
        <v>80249.68815736297</v>
      </c>
      <c r="K35" s="9">
        <f t="shared" si="11"/>
        <v>81945.23098223865</v>
      </c>
      <c r="L35" s="9">
        <f t="shared" si="11"/>
        <v>83278.72479529904</v>
      </c>
      <c r="M35" s="9">
        <f t="shared" si="11"/>
        <v>84886.84614168514</v>
      </c>
      <c r="N35" s="9">
        <f t="shared" si="11"/>
        <v>86493.81143306023</v>
      </c>
      <c r="O35" s="9">
        <f t="shared" si="11"/>
        <v>88072.47579920047</v>
      </c>
    </row>
    <row r="36" spans="1:15" ht="18.75">
      <c r="A36" s="8" t="s">
        <v>45</v>
      </c>
      <c r="B36" s="9" t="e">
        <f>район!B35+ив!B35+мортки!B35+затеиха!#REF!+сеготь!B35+город!B40</f>
        <v>#REF!</v>
      </c>
      <c r="C36" s="9" t="e">
        <f>район!C35+ив!C35+мортки!C35+затеиха!#REF!+сеготь!C35+город!C40</f>
        <v>#REF!</v>
      </c>
      <c r="D36" s="9" t="e">
        <f>район!D35+ив!D35+мортки!D35+затеиха!#REF!+сеготь!D35+город!D40</f>
        <v>#REF!</v>
      </c>
      <c r="E36" s="9">
        <f>район!E35+ив!E35+мортки!E35+затеиха!B35+сеготь!E35+город!E40</f>
        <v>121215.29999999999</v>
      </c>
      <c r="F36" s="9">
        <f>район!F35+ив!F35+мортки!F35+затеиха!C35+сеготь!F35+город!F40</f>
        <v>75345.09999999999</v>
      </c>
      <c r="G36" s="9">
        <f>район!G35+ив!G35+мортки!G35+затеиха!D35+сеготь!G35+город!G40</f>
        <v>75336.2</v>
      </c>
      <c r="H36" s="9">
        <f>район!H35+ив!H35+мортки!H35+затеиха!E35+сеготь!H35+город!H40</f>
        <v>78121.35266666667</v>
      </c>
      <c r="I36" s="9">
        <f>район!I35+ив!I35+мортки!I35+затеиха!F35+сеготь!I35+город!I40</f>
        <v>78634.49594222222</v>
      </c>
      <c r="J36" s="9">
        <f>район!J35+ив!J35+мортки!J35+затеиха!G35+сеготь!J35+город!J40</f>
        <v>80249.68815736297</v>
      </c>
      <c r="K36" s="9">
        <f>район!K35+ив!K35+мортки!K35+затеиха!H35+сеготь!K35+город!K40</f>
        <v>81945.23098223865</v>
      </c>
      <c r="L36" s="9">
        <f>район!L35+ив!L35+мортки!L35+затеиха!I35+сеготь!L35+город!L40</f>
        <v>83278.72479529904</v>
      </c>
      <c r="M36" s="9">
        <f>район!M35+ив!M35+мортки!M35+затеиха!J35+сеготь!M35+город!M40</f>
        <v>84886.84614168514</v>
      </c>
      <c r="N36" s="9">
        <f>район!N35+ив!N35+мортки!N35+затеиха!K35+сеготь!N35+город!N40</f>
        <v>86493.81143306023</v>
      </c>
      <c r="O36" s="9">
        <f>район!O35+ив!O35+мортки!O35+затеиха!L35+сеготь!O35+город!O40</f>
        <v>88072.47579920047</v>
      </c>
    </row>
    <row r="37" spans="1:15" ht="56.25">
      <c r="A37" s="8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37.5">
      <c r="A38" s="8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37.5">
      <c r="A39" s="8" t="s">
        <v>48</v>
      </c>
      <c r="B39" s="9" t="e">
        <f>ив!B38+мортки!B38+затеиха!#REF!+сеготь!B38</f>
        <v>#REF!</v>
      </c>
      <c r="C39" s="9" t="e">
        <f>ив!C38+мортки!C38+затеиха!#REF!+сеготь!C38</f>
        <v>#REF!</v>
      </c>
      <c r="D39" s="9" t="e">
        <f>ив!D38+мортки!D38+затеиха!#REF!+сеготь!D38</f>
        <v>#REF!</v>
      </c>
      <c r="E39" s="9">
        <f>ив!E38+мортки!E38+затеиха!B38+сеготь!E38</f>
        <v>0</v>
      </c>
      <c r="F39" s="9">
        <f>ив!F38+мортки!F38+затеиха!C38+сеготь!F38</f>
        <v>0</v>
      </c>
      <c r="G39" s="9">
        <f>ив!G38+мортки!G38+затеиха!D38+сеготь!G38</f>
        <v>0</v>
      </c>
      <c r="H39" s="9">
        <f>ив!H38+мортки!H38+затеиха!E38+сеготь!H38</f>
        <v>0</v>
      </c>
      <c r="I39" s="9">
        <f>ив!I38+мортки!I38+затеиха!F38+сеготь!I38</f>
        <v>0</v>
      </c>
      <c r="J39" s="9">
        <f>ив!J38+мортки!J38+затеиха!G38+сеготь!J38</f>
        <v>0</v>
      </c>
      <c r="K39" s="9">
        <f>ив!K38+мортки!K38+затеиха!H38+сеготь!K38</f>
        <v>0</v>
      </c>
      <c r="L39" s="9">
        <f>ив!L38+мортки!L38+затеиха!I38+сеготь!L38</f>
        <v>0</v>
      </c>
      <c r="M39" s="9">
        <f>ив!M38+мортки!M38+затеиха!J38+сеготь!M38</f>
        <v>0</v>
      </c>
      <c r="N39" s="9">
        <f>ив!N38+мортки!N38+затеиха!K38+сеготь!N38</f>
        <v>0</v>
      </c>
      <c r="O39" s="9">
        <f>ив!O38+мортки!O38+затеиха!L38+сеготь!O38</f>
        <v>0</v>
      </c>
    </row>
    <row r="40" spans="14:15" ht="23.25">
      <c r="N40" s="86" t="s">
        <v>80</v>
      </c>
      <c r="O40" s="86"/>
    </row>
    <row r="41" spans="1:15" ht="18.75">
      <c r="A41" s="1" t="s">
        <v>0</v>
      </c>
      <c r="B41" s="1" t="s">
        <v>1</v>
      </c>
      <c r="C41" s="1" t="s">
        <v>2</v>
      </c>
      <c r="D41" s="1" t="s">
        <v>12</v>
      </c>
      <c r="E41" s="1" t="s">
        <v>16</v>
      </c>
      <c r="F41" s="1" t="s">
        <v>17</v>
      </c>
      <c r="G41" s="1" t="s">
        <v>18</v>
      </c>
      <c r="H41" s="1" t="s">
        <v>19</v>
      </c>
      <c r="I41" s="1" t="s">
        <v>20</v>
      </c>
      <c r="J41" s="1" t="s">
        <v>21</v>
      </c>
      <c r="K41" s="1" t="s">
        <v>22</v>
      </c>
      <c r="L41" s="1" t="s">
        <v>3</v>
      </c>
      <c r="M41" s="1" t="s">
        <v>14</v>
      </c>
      <c r="N41" s="1" t="s">
        <v>22</v>
      </c>
      <c r="O41" s="1" t="s">
        <v>3</v>
      </c>
    </row>
    <row r="42" spans="1:15" ht="93.75">
      <c r="A42" s="6" t="s">
        <v>49</v>
      </c>
      <c r="B42" s="9" t="e">
        <f>B44+B45+B46+B47+B49+B48+B50+B51+B52+B53+B54+B55+B56+B57</f>
        <v>#REF!</v>
      </c>
      <c r="C42" s="9" t="e">
        <f aca="true" t="shared" si="12" ref="C42:O42">C44+C45+C46+C47+C49+C48+C50+C51+C52+C53+C54+C55+C56+C57</f>
        <v>#REF!</v>
      </c>
      <c r="D42" s="9" t="e">
        <f t="shared" si="12"/>
        <v>#REF!</v>
      </c>
      <c r="E42" s="9">
        <f>E44+E45+E46+E47+E49+E48+E50+E51+E52+E53+E54+E55+E56+E57</f>
        <v>226915.5</v>
      </c>
      <c r="F42" s="9">
        <f t="shared" si="12"/>
        <v>183634</v>
      </c>
      <c r="G42" s="9">
        <f t="shared" si="12"/>
        <v>187351.7</v>
      </c>
      <c r="H42" s="9">
        <f t="shared" si="12"/>
        <v>193907.7</v>
      </c>
      <c r="I42" s="9">
        <f t="shared" si="12"/>
        <v>196877.73896</v>
      </c>
      <c r="J42" s="9">
        <f t="shared" si="12"/>
        <v>201019.07849609602</v>
      </c>
      <c r="K42" s="9">
        <f t="shared" si="12"/>
        <v>205312.89704556868</v>
      </c>
      <c r="L42" s="9">
        <f t="shared" si="12"/>
        <v>209320.56626311498</v>
      </c>
      <c r="M42" s="9">
        <f t="shared" si="12"/>
        <v>213421.8147932199</v>
      </c>
      <c r="N42" s="9">
        <f t="shared" si="12"/>
        <v>217860.79251156567</v>
      </c>
      <c r="O42" s="9">
        <f t="shared" si="12"/>
        <v>221550.19395540238</v>
      </c>
    </row>
    <row r="43" spans="1:15" ht="18.75">
      <c r="A43" s="8" t="s">
        <v>50</v>
      </c>
      <c r="B43" s="9"/>
      <c r="C43" s="9"/>
      <c r="D43" s="9"/>
      <c r="E43" s="9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18.75">
      <c r="A44" s="8" t="s">
        <v>51</v>
      </c>
      <c r="B44" s="9" t="e">
        <f>район!B43+ив!B43+мортки!B43+затеиха!#REF!+сеготь!B43+город!B50</f>
        <v>#REF!</v>
      </c>
      <c r="C44" s="9" t="e">
        <f>район!C43+ив!C43+мортки!C43+затеиха!#REF!+сеготь!C43+город!C50</f>
        <v>#REF!</v>
      </c>
      <c r="D44" s="9" t="e">
        <f>район!D43+ив!D43+мортки!D43+затеиха!#REF!+сеготь!D43+город!D50</f>
        <v>#REF!</v>
      </c>
      <c r="E44" s="9">
        <f>район!E43+ив!E43+мортки!E43+затеиха!B43+сеготь!E43+город!E50</f>
        <v>60924.3</v>
      </c>
      <c r="F44" s="9">
        <f>район!F43+ив!F43+мортки!F43+затеиха!C43+сеготь!F43+город!F50</f>
        <v>56161.700000000004</v>
      </c>
      <c r="G44" s="9">
        <f>район!G43+ив!G43+мортки!G43+затеиха!D43+сеготь!G43+город!G50</f>
        <v>56181.3</v>
      </c>
      <c r="H44" s="9">
        <f>район!H43+ив!H43+мортки!H43+затеиха!E43+сеготь!H43+город!H50</f>
        <v>55202.600000000006</v>
      </c>
      <c r="I44" s="9">
        <f>район!I43+ив!I43+мортки!I43+затеиха!F43+сеготь!I43+город!I50</f>
        <v>56032.03896</v>
      </c>
      <c r="J44" s="9">
        <f>район!J43+ив!J43+мортки!J43+затеиха!G43+сеготь!J43+город!J50</f>
        <v>56575.07849609599</v>
      </c>
      <c r="K44" s="9">
        <f>район!K43+ив!K43+мортки!K43+затеиха!H43+сеготь!K43+город!K50</f>
        <v>57341.69704556866</v>
      </c>
      <c r="L44" s="9">
        <f>район!L43+ив!L43+мортки!L43+затеиха!I43+сеготь!L43+город!L50</f>
        <v>58156.56626311499</v>
      </c>
      <c r="M44" s="9">
        <f>район!M43+ив!M43+мортки!M43+затеиха!J43+сеготь!M43+город!M50</f>
        <v>59184.1147932199</v>
      </c>
      <c r="N44" s="9">
        <f>район!N43+ив!N43+мортки!N43+затеиха!K43+сеготь!N43+город!N50</f>
        <v>60010.39251156567</v>
      </c>
      <c r="O44" s="9">
        <f>район!O43+ив!O43+мортки!O43+затеиха!L43+сеготь!O43+город!O50</f>
        <v>60827.293955402405</v>
      </c>
    </row>
    <row r="45" spans="1:15" ht="18.75">
      <c r="A45" s="8" t="s">
        <v>52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37.5">
      <c r="A46" s="8" t="s">
        <v>53</v>
      </c>
      <c r="B46" s="9">
        <f>район!B45</f>
        <v>41.5</v>
      </c>
      <c r="C46" s="9">
        <f>район!C45</f>
        <v>40.089</v>
      </c>
      <c r="D46" s="9">
        <f>район!D45</f>
        <v>40.28944499999999</v>
      </c>
      <c r="E46" s="9">
        <f>район!E45</f>
        <v>0</v>
      </c>
      <c r="F46" s="9">
        <f>район!F45</f>
        <v>0</v>
      </c>
      <c r="G46" s="9">
        <f>район!G45</f>
        <v>0</v>
      </c>
      <c r="H46" s="9">
        <f>район!H45</f>
        <v>0</v>
      </c>
      <c r="I46" s="9">
        <f>район!I45</f>
        <v>0</v>
      </c>
      <c r="J46" s="9">
        <f>район!J45</f>
        <v>0</v>
      </c>
      <c r="K46" s="9">
        <f>район!K45</f>
        <v>0</v>
      </c>
      <c r="L46" s="9">
        <f>район!L45</f>
        <v>0</v>
      </c>
      <c r="M46" s="9">
        <f>район!M45</f>
        <v>0</v>
      </c>
      <c r="N46" s="9">
        <f>район!N45</f>
        <v>0</v>
      </c>
      <c r="O46" s="9">
        <f>район!O45</f>
        <v>0</v>
      </c>
    </row>
    <row r="47" spans="1:15" ht="18.75">
      <c r="A47" s="8" t="s">
        <v>54</v>
      </c>
      <c r="B47" s="9" t="e">
        <f>район!B46+ив!B46+мортки!B46+затеиха!#REF!+сеготь!B46+город!B53</f>
        <v>#REF!</v>
      </c>
      <c r="C47" s="9" t="e">
        <f>район!C46+ив!C46+мортки!C46+затеиха!#REF!+сеготь!C46+город!C53</f>
        <v>#REF!</v>
      </c>
      <c r="D47" s="9" t="e">
        <f>район!D46+ив!D46+мортки!D46+затеиха!#REF!+сеготь!D46+город!D53</f>
        <v>#REF!</v>
      </c>
      <c r="E47" s="9">
        <f>район!E46+ив!E46+мортки!E46+затеиха!B46+сеготь!E46+город!E53</f>
        <v>26096.5</v>
      </c>
      <c r="F47" s="9">
        <f>район!F46+ив!F46+мортки!F46+затеиха!C46+сеготь!F46+город!F53</f>
        <v>22682.1</v>
      </c>
      <c r="G47" s="9">
        <f>район!G46+ив!G46+мортки!G46+затеиха!D46+сеготь!G46+город!G53</f>
        <v>24242.5</v>
      </c>
      <c r="H47" s="9">
        <f>район!H46+ив!H46+мортки!H46+затеиха!E46+сеготь!H46+город!H53</f>
        <v>26301.6</v>
      </c>
      <c r="I47" s="9">
        <f>район!I46+ив!I46+мортки!I46+затеиха!F46+сеготь!I46+город!I53</f>
        <v>26567.1</v>
      </c>
      <c r="J47" s="9">
        <f>район!J46+ив!J46+мортки!J46+затеиха!G46+сеготь!J46+город!J53</f>
        <v>27337.9</v>
      </c>
      <c r="K47" s="9">
        <f>район!K46+ив!K46+мортки!K46+затеиха!H46+сеготь!K46+город!K53</f>
        <v>28014</v>
      </c>
      <c r="L47" s="9">
        <f>район!L46+ив!L46+мортки!L46+затеиха!I46+сеготь!L46+город!L53</f>
        <v>28595.699999999997</v>
      </c>
      <c r="M47" s="9">
        <f>район!M46+ив!M46+мортки!M46+затеиха!J46+сеготь!M46+город!M53</f>
        <v>29283.1</v>
      </c>
      <c r="N47" s="9">
        <f>район!N46+ив!N46+мортки!N46+затеиха!K46+сеготь!N46+город!N53</f>
        <v>30076.1</v>
      </c>
      <c r="O47" s="9">
        <f>район!O46+ив!O46+мортки!O46+затеиха!L46+сеготь!O46+город!O53</f>
        <v>30775.1</v>
      </c>
    </row>
    <row r="48" spans="1:15" ht="18.75">
      <c r="A48" s="8" t="s">
        <v>55</v>
      </c>
      <c r="B48" s="9" t="e">
        <f>район!B47+ив!B47+мортки!B47+затеиха!#REF!+сеготь!B47+город!B54</f>
        <v>#REF!</v>
      </c>
      <c r="C48" s="9" t="e">
        <f>район!C47+ив!C47+мортки!C47+затеиха!#REF!+сеготь!C47+город!C54</f>
        <v>#REF!</v>
      </c>
      <c r="D48" s="9" t="e">
        <f>район!D47+ив!D47+мортки!D47+затеиха!#REF!+сеготь!D47+город!D54</f>
        <v>#REF!</v>
      </c>
      <c r="E48" s="9">
        <f>район!E47+ив!E47+мортки!E47+затеиха!B47+сеготь!E47+город!E54</f>
        <v>30272.699999999997</v>
      </c>
      <c r="F48" s="9">
        <f>район!F47+ив!F47+мортки!F47+затеиха!C47+сеготь!F47+город!F54</f>
        <v>25390.6</v>
      </c>
      <c r="G48" s="9">
        <f>район!G47+ив!G47+мортки!G47+затеиха!D47+сеготь!G47+город!G54</f>
        <v>25382.1</v>
      </c>
      <c r="H48" s="9">
        <f>район!H47+ив!H47+мортки!H47+затеиха!E47+сеготь!H47+город!H54</f>
        <v>25813.7</v>
      </c>
      <c r="I48" s="9">
        <f>район!I47+ив!I47+мортки!I47+затеиха!F47+сеготь!I47+город!I54</f>
        <v>25926.5</v>
      </c>
      <c r="J48" s="9">
        <f>район!J47+ив!J47+мортки!J47+затеиха!G47+сеготь!J47+город!J54</f>
        <v>26521.600000000002</v>
      </c>
      <c r="K48" s="9">
        <f>район!K47+ив!K47+мортки!K47+затеиха!H47+сеготь!K47+город!K54</f>
        <v>27000.200000000004</v>
      </c>
      <c r="L48" s="9">
        <f>район!L47+ив!L47+мортки!L47+затеиха!I47+сеготь!L47+город!L54</f>
        <v>27413.5</v>
      </c>
      <c r="M48" s="9">
        <f>район!M47+ив!M47+мортки!M47+затеиха!J47+сеготь!M47+город!M54</f>
        <v>27931.300000000003</v>
      </c>
      <c r="N48" s="9">
        <f>район!N47+ив!N47+мортки!N47+затеиха!K47+сеготь!N47+город!N54</f>
        <v>28390.4</v>
      </c>
      <c r="O48" s="9">
        <f>район!O47+ив!O47+мортки!O47+затеиха!L47+сеготь!O47+город!O54</f>
        <v>28902.1</v>
      </c>
    </row>
    <row r="49" spans="1:15" ht="18.75">
      <c r="A49" s="8" t="s">
        <v>56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8.75">
      <c r="A50" s="8" t="s">
        <v>57</v>
      </c>
      <c r="B50" s="9" t="e">
        <f>район!B49+город!B56</f>
        <v>#REF!</v>
      </c>
      <c r="C50" s="9" t="e">
        <f>район!C49+город!C56</f>
        <v>#REF!</v>
      </c>
      <c r="D50" s="9" t="e">
        <f>район!D49+город!D56</f>
        <v>#REF!</v>
      </c>
      <c r="E50" s="9">
        <f>район!E49+город!E56</f>
        <v>76733.5</v>
      </c>
      <c r="F50" s="9">
        <f>район!F49+город!F56</f>
        <v>52403.7</v>
      </c>
      <c r="G50" s="9">
        <f>район!G49+город!G56</f>
        <v>54496.8</v>
      </c>
      <c r="H50" s="9">
        <f>район!H49+город!H56</f>
        <v>55148.3</v>
      </c>
      <c r="I50" s="9">
        <f>район!I49+город!I56</f>
        <v>56639.9</v>
      </c>
      <c r="J50" s="9">
        <f>район!J49+город!J56</f>
        <v>58580.5</v>
      </c>
      <c r="K50" s="9">
        <f>район!K49+город!K56+0.1</f>
        <v>60302.1</v>
      </c>
      <c r="L50" s="9">
        <f>район!L49+город!L56</f>
        <v>62053.2</v>
      </c>
      <c r="M50" s="9">
        <f>район!M49+город!M56</f>
        <v>63644.3</v>
      </c>
      <c r="N50" s="9">
        <f>район!N49+город!N56</f>
        <v>65493.9</v>
      </c>
      <c r="O50" s="9">
        <f>район!O49+город!O56+0.1</f>
        <v>66720</v>
      </c>
    </row>
    <row r="51" spans="1:15" ht="18.75">
      <c r="A51" s="8" t="s">
        <v>58</v>
      </c>
      <c r="B51" s="9" t="e">
        <f>район!B50+ив!B50+мортки!B50+затеиха!#REF!+сеготь!B50+город!B57</f>
        <v>#REF!</v>
      </c>
      <c r="C51" s="9" t="e">
        <f>район!C50+ив!C50+мортки!C50+затеиха!#REF!+сеготь!C50+город!C57</f>
        <v>#REF!</v>
      </c>
      <c r="D51" s="9" t="e">
        <f>район!D50+ив!D50+мортки!D50+затеиха!#REF!+сеготь!D50+город!D57</f>
        <v>#REF!</v>
      </c>
      <c r="E51" s="9">
        <f>район!E50+ив!E50+мортки!E50+затеиха!B50+сеготь!E50+город!E57</f>
        <v>29405</v>
      </c>
      <c r="F51" s="9">
        <f>район!F50+ив!F50+мортки!F50+затеиха!C50+сеготь!F50+город!F57</f>
        <v>25786.199999999997</v>
      </c>
      <c r="G51" s="9">
        <f>район!G50+ив!G50+мортки!G50+затеиха!D50+сеготь!G50+город!G57</f>
        <v>25846.699999999997</v>
      </c>
      <c r="H51" s="9">
        <f>район!H50+ив!H50+мортки!H50+затеиха!E50+сеготь!H50+город!H57</f>
        <v>28730.2</v>
      </c>
      <c r="I51" s="9">
        <f>район!I50+ив!I50+мортки!I50+затеиха!F50+сеготь!I50+город!I57</f>
        <v>29000.9</v>
      </c>
      <c r="J51" s="9">
        <f>район!J50+ив!J50+мортки!J50+затеиха!G50+сеготь!J50+город!J57</f>
        <v>29288</v>
      </c>
      <c r="K51" s="9">
        <f>район!K50+ив!K50+мортки!K50+затеиха!H50+сеготь!K50+город!K57</f>
        <v>29888.6</v>
      </c>
      <c r="L51" s="9">
        <f>район!L50+ив!L50+мортки!L50+затеиха!I50+сеготь!L50+город!L57</f>
        <v>30335.300000000003</v>
      </c>
      <c r="M51" s="9">
        <f>район!M50+ив!M50+мортки!M50+затеиха!J50+сеготь!M50+город!M57</f>
        <v>30607.7</v>
      </c>
      <c r="N51" s="9">
        <f>район!N50+ив!N50+мортки!N50+затеиха!K50+сеготь!N50+город!N57</f>
        <v>31118.699999999997</v>
      </c>
      <c r="O51" s="9">
        <f>район!O50+ив!O50+мортки!O50+затеиха!L50+сеготь!O50+город!O57</f>
        <v>31549.4</v>
      </c>
    </row>
    <row r="52" spans="1:15" ht="18.75">
      <c r="A52" s="8" t="s">
        <v>59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8.75">
      <c r="A53" s="8" t="s">
        <v>60</v>
      </c>
      <c r="B53" s="9">
        <f>район!B52+ив!B52+мортки!B52+сеготь!B52+город!B59</f>
        <v>3381.6</v>
      </c>
      <c r="C53" s="9">
        <f>район!C52+ив!C52+мортки!C52+сеготь!C52+город!C59</f>
        <v>3310.6495999999997</v>
      </c>
      <c r="D53" s="9">
        <f>район!D52+ив!D52+мортки!D52+сеготь!D52+город!D59</f>
        <v>3325.8428479999993</v>
      </c>
      <c r="E53" s="9">
        <f>район!E52+ив!E52+мортки!E52+сеготь!E52+город!E59</f>
        <v>2611.3</v>
      </c>
      <c r="F53" s="9">
        <f>район!F52+ив!F52+мортки!F52+сеготь!F52+город!F59</f>
        <v>643.6</v>
      </c>
      <c r="G53" s="9">
        <f>район!G52+ив!G52+мортки!G52+сеготь!G52+город!G59</f>
        <v>637.3</v>
      </c>
      <c r="H53" s="9">
        <f>район!H52+ив!H52+мортки!H52+сеготь!H52+город!H59</f>
        <v>2146.3</v>
      </c>
      <c r="I53" s="9">
        <f>район!I52+ив!I52+мортки!I52+сеготь!I52+город!I59</f>
        <v>2146.3</v>
      </c>
      <c r="J53" s="9">
        <f>район!J52+ив!J52+мортки!J52+сеготь!J52+город!J59</f>
        <v>2146.3</v>
      </c>
      <c r="K53" s="9">
        <f>район!K52+ив!K52+мортки!K52+сеготь!K52+город!K59</f>
        <v>2146.3</v>
      </c>
      <c r="L53" s="9">
        <f>район!L52+ив!L52+мортки!L52+сеготь!L52+город!L59</f>
        <v>2146.3</v>
      </c>
      <c r="M53" s="9">
        <f>район!M52+ив!M52+мортки!M52+сеготь!M52+город!M59</f>
        <v>2146.3</v>
      </c>
      <c r="N53" s="9">
        <f>район!N52+ив!N52+мортки!N52+сеготь!N52+город!N59</f>
        <v>2146.3</v>
      </c>
      <c r="O53" s="9">
        <f>район!O52+ив!O52+мортки!O52+сеготь!O52+город!O59</f>
        <v>2146.3</v>
      </c>
    </row>
    <row r="54" spans="1:15" ht="18.75">
      <c r="A54" s="8" t="s">
        <v>61</v>
      </c>
      <c r="B54" s="9" t="e">
        <f>район!B53+ив!B53+затеиха!#REF!+город!B60</f>
        <v>#REF!</v>
      </c>
      <c r="C54" s="9" t="e">
        <f>район!C53+ив!C53+затеиха!#REF!+город!C60</f>
        <v>#REF!</v>
      </c>
      <c r="D54" s="9" t="e">
        <f>район!D53+ив!D53+затеиха!#REF!+город!D60</f>
        <v>#REF!</v>
      </c>
      <c r="E54" s="9">
        <f>район!E53+ив!E53+затеиха!B53+город!E60</f>
        <v>870</v>
      </c>
      <c r="F54" s="9">
        <f>район!F53+ив!F53+затеиха!C53+город!F60</f>
        <v>565</v>
      </c>
      <c r="G54" s="9">
        <f>район!G53+ив!G53+затеиха!D53+город!G60</f>
        <v>565</v>
      </c>
      <c r="H54" s="9">
        <f>район!H53+ив!H53+затеиха!E53+город!H60</f>
        <v>565</v>
      </c>
      <c r="I54" s="9">
        <f>район!I53+ив!I53+затеиха!F53+город!I60</f>
        <v>565</v>
      </c>
      <c r="J54" s="9">
        <f>район!J53+ив!J53+затеиха!G53+город!J60</f>
        <v>569.7</v>
      </c>
      <c r="K54" s="9">
        <f>район!K53+ив!K53+затеиха!H53+город!K60</f>
        <v>620</v>
      </c>
      <c r="L54" s="9">
        <f>район!L53+ив!L53+затеиха!I53+город!L60</f>
        <v>620</v>
      </c>
      <c r="M54" s="9">
        <f>район!M53+ив!M53+затеиха!J53+город!M60</f>
        <v>625</v>
      </c>
      <c r="N54" s="9">
        <f>район!N53+ив!N53+затеиха!K53+город!N60</f>
        <v>625</v>
      </c>
      <c r="O54" s="9">
        <f>район!O53+ив!O53+затеиха!L53+город!O60</f>
        <v>630</v>
      </c>
    </row>
    <row r="55" spans="1:15" ht="18.75">
      <c r="A55" s="8" t="s">
        <v>62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37.5">
      <c r="A56" s="8" t="s">
        <v>63</v>
      </c>
      <c r="B56" s="9">
        <f>район!B55</f>
        <v>0</v>
      </c>
      <c r="C56" s="9">
        <f>район!C55</f>
        <v>0</v>
      </c>
      <c r="D56" s="9">
        <f>район!D55</f>
        <v>0</v>
      </c>
      <c r="E56" s="9">
        <f>район!E55</f>
        <v>2.2</v>
      </c>
      <c r="F56" s="9">
        <f>район!F55</f>
        <v>1.1</v>
      </c>
      <c r="G56" s="9">
        <f>район!G55</f>
        <v>0</v>
      </c>
      <c r="H56" s="9">
        <f>район!H55</f>
        <v>0</v>
      </c>
      <c r="I56" s="9">
        <f>район!I55</f>
        <v>0</v>
      </c>
      <c r="J56" s="9">
        <f>район!J55</f>
        <v>0</v>
      </c>
      <c r="K56" s="9">
        <f>район!K55</f>
        <v>0</v>
      </c>
      <c r="L56" s="9">
        <f>район!L55</f>
        <v>0</v>
      </c>
      <c r="M56" s="9">
        <f>район!M55</f>
        <v>0</v>
      </c>
      <c r="N56" s="9">
        <f>район!N55</f>
        <v>0</v>
      </c>
      <c r="O56" s="9">
        <f>район!O55</f>
        <v>0</v>
      </c>
    </row>
    <row r="57" spans="1:15" ht="75">
      <c r="A57" s="8" t="s">
        <v>64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4:15" ht="23.25">
      <c r="N58" s="86" t="s">
        <v>81</v>
      </c>
      <c r="O58" s="86"/>
    </row>
    <row r="59" spans="1:15" ht="18.75">
      <c r="A59" s="1" t="s">
        <v>0</v>
      </c>
      <c r="B59" s="1" t="s">
        <v>1</v>
      </c>
      <c r="C59" s="1" t="s">
        <v>2</v>
      </c>
      <c r="D59" s="1" t="s">
        <v>12</v>
      </c>
      <c r="E59" s="1" t="s">
        <v>16</v>
      </c>
      <c r="F59" s="1" t="s">
        <v>17</v>
      </c>
      <c r="G59" s="1" t="s">
        <v>18</v>
      </c>
      <c r="H59" s="1" t="s">
        <v>19</v>
      </c>
      <c r="I59" s="1" t="s">
        <v>20</v>
      </c>
      <c r="J59" s="1" t="s">
        <v>21</v>
      </c>
      <c r="K59" s="1" t="s">
        <v>22</v>
      </c>
      <c r="L59" s="1" t="s">
        <v>3</v>
      </c>
      <c r="M59" s="1" t="s">
        <v>14</v>
      </c>
      <c r="N59" s="1" t="s">
        <v>22</v>
      </c>
      <c r="O59" s="1" t="s">
        <v>3</v>
      </c>
    </row>
    <row r="60" spans="1:15" ht="18.75">
      <c r="A60" s="6" t="s">
        <v>65</v>
      </c>
      <c r="B60" s="3"/>
      <c r="C60" s="3"/>
      <c r="D60" s="3"/>
      <c r="E60" s="3">
        <f>E63</f>
        <v>-1172.4</v>
      </c>
      <c r="F60" s="3">
        <f aca="true" t="shared" si="13" ref="F60:O60">F63</f>
        <v>-1172.4</v>
      </c>
      <c r="G60" s="3">
        <f t="shared" si="13"/>
        <v>0</v>
      </c>
      <c r="H60" s="3">
        <f t="shared" si="13"/>
        <v>0</v>
      </c>
      <c r="I60" s="3">
        <f t="shared" si="13"/>
        <v>0</v>
      </c>
      <c r="J60" s="3">
        <f t="shared" si="13"/>
        <v>0</v>
      </c>
      <c r="K60" s="3">
        <f t="shared" si="13"/>
        <v>0</v>
      </c>
      <c r="L60" s="3">
        <f t="shared" si="13"/>
        <v>0</v>
      </c>
      <c r="M60" s="3">
        <f t="shared" si="13"/>
        <v>0</v>
      </c>
      <c r="N60" s="3">
        <f t="shared" si="13"/>
        <v>0</v>
      </c>
      <c r="O60" s="3">
        <f t="shared" si="13"/>
        <v>0</v>
      </c>
    </row>
    <row r="61" spans="1:15" ht="18.75">
      <c r="A61" s="8" t="s">
        <v>66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8" t="s">
        <v>67</v>
      </c>
      <c r="B62" s="3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>
      <c r="A63" s="8" t="s">
        <v>68</v>
      </c>
      <c r="B63" s="3"/>
      <c r="C63" s="3"/>
      <c r="D63" s="3"/>
      <c r="E63" s="64">
        <v>-1172.4</v>
      </c>
      <c r="F63" s="65">
        <v>-1172.4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</row>
    <row r="64" spans="1:15" ht="18.75">
      <c r="A64" s="8" t="s">
        <v>69</v>
      </c>
      <c r="B64" s="3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</row>
  </sheetData>
  <sheetProtection/>
  <mergeCells count="5">
    <mergeCell ref="N58:O58"/>
    <mergeCell ref="A1:O1"/>
    <mergeCell ref="N2:O2"/>
    <mergeCell ref="N12:O12"/>
    <mergeCell ref="N40:O40"/>
  </mergeCells>
  <printOptions/>
  <pageMargins left="0.2362204724409449" right="0.15748031496062992" top="0.2755905511811024" bottom="0.1968503937007874" header="0.2362204724409449" footer="0.2362204724409449"/>
  <pageSetup horizontalDpi="600" verticalDpi="600" orientation="portrait" paperSize="9" scale="53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Елена Михайловна</dc:creator>
  <cp:keywords/>
  <dc:description/>
  <cp:lastModifiedBy>Пользователь РФО</cp:lastModifiedBy>
  <cp:lastPrinted>2022-11-09T10:33:39Z</cp:lastPrinted>
  <dcterms:created xsi:type="dcterms:W3CDTF">2016-05-06T11:57:15Z</dcterms:created>
  <dcterms:modified xsi:type="dcterms:W3CDTF">2022-11-15T10:51:57Z</dcterms:modified>
  <cp:category/>
  <cp:version/>
  <cp:contentType/>
  <cp:contentStatus/>
</cp:coreProperties>
</file>